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V:\Full Council\202425\February 2025\"/>
    </mc:Choice>
  </mc:AlternateContent>
  <xr:revisionPtr revIDLastSave="0" documentId="13_ncr:1_{A0D9F377-965C-4D9F-8574-0558E62E47D2}" xr6:coauthVersionLast="47" xr6:coauthVersionMax="47" xr10:uidLastSave="{00000000-0000-0000-0000-000000000000}"/>
  <bookViews>
    <workbookView xWindow="16354" yWindow="-103" windowWidth="16663" windowHeight="8743" xr2:uid="{00000000-000D-0000-FFFF-FFFF00000000}"/>
  </bookViews>
  <sheets>
    <sheet name="Overview" sheetId="8" r:id="rId1"/>
    <sheet name="Sheet1" sheetId="10" r:id="rId2"/>
    <sheet name="Detailed Budget" sheetId="2" r:id="rId3"/>
    <sheet name="Data" sheetId="5" r:id="rId4"/>
    <sheet name="2526 Increase " sheetId="9" r:id="rId5"/>
  </sheets>
  <definedNames>
    <definedName name="_xlnm.Print_Area" localSheetId="2">'Detailed Budget'!$A$1:$R$130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8" i="2" l="1"/>
  <c r="J28" i="2" s="1"/>
  <c r="O113" i="2"/>
  <c r="O102" i="2"/>
  <c r="O103" i="2"/>
  <c r="O101" i="2"/>
  <c r="O88" i="2"/>
  <c r="O89" i="2"/>
  <c r="O90" i="2"/>
  <c r="O91" i="2"/>
  <c r="O87" i="2"/>
  <c r="E120" i="2"/>
  <c r="F120" i="2"/>
  <c r="H120" i="2"/>
  <c r="I120" i="2"/>
  <c r="D120" i="2"/>
  <c r="E105" i="5"/>
  <c r="E107" i="2" s="1"/>
  <c r="E106" i="5"/>
  <c r="E107" i="5"/>
  <c r="E108" i="5"/>
  <c r="E109" i="5"/>
  <c r="E110" i="5"/>
  <c r="E111" i="5"/>
  <c r="E112" i="5"/>
  <c r="E113" i="5"/>
  <c r="E114" i="5"/>
  <c r="E113" i="2"/>
  <c r="E116" i="2"/>
  <c r="E118" i="2"/>
  <c r="E112" i="2"/>
  <c r="I66" i="2"/>
  <c r="I34" i="2"/>
  <c r="F116" i="2"/>
  <c r="F113" i="2"/>
  <c r="F103" i="2"/>
  <c r="F102" i="2"/>
  <c r="F101" i="2"/>
  <c r="F93" i="2"/>
  <c r="F91" i="2"/>
  <c r="F90" i="2"/>
  <c r="F71" i="2"/>
  <c r="F67" i="2"/>
  <c r="F57" i="2"/>
  <c r="F50" i="2"/>
  <c r="F49" i="2"/>
  <c r="F47" i="2"/>
  <c r="F20" i="2"/>
  <c r="F18" i="2"/>
  <c r="F12" i="2"/>
  <c r="I119" i="2"/>
  <c r="D118" i="2"/>
  <c r="F118" i="2" s="1"/>
  <c r="I117" i="2"/>
  <c r="D116" i="2"/>
  <c r="I114" i="2"/>
  <c r="D113" i="2"/>
  <c r="D112" i="2"/>
  <c r="F112" i="2" s="1"/>
  <c r="D107" i="2"/>
  <c r="F107" i="2" s="1"/>
  <c r="D106" i="2"/>
  <c r="F106" i="2" s="1"/>
  <c r="D105" i="2"/>
  <c r="F105" i="2" s="1"/>
  <c r="D104" i="2"/>
  <c r="F104" i="2" s="1"/>
  <c r="D103" i="2"/>
  <c r="D102" i="2"/>
  <c r="D101" i="2"/>
  <c r="D100" i="2"/>
  <c r="F100" i="2" s="1"/>
  <c r="D95" i="2"/>
  <c r="F95" i="2" s="1"/>
  <c r="D94" i="2"/>
  <c r="F94" i="2" s="1"/>
  <c r="D93" i="2"/>
  <c r="D92" i="2"/>
  <c r="F92" i="2" s="1"/>
  <c r="D91" i="2"/>
  <c r="D90" i="2"/>
  <c r="D89" i="2"/>
  <c r="F89" i="2" s="1"/>
  <c r="D88" i="2"/>
  <c r="F88" i="2" s="1"/>
  <c r="D80" i="2"/>
  <c r="F80" i="2" s="1"/>
  <c r="D79" i="2"/>
  <c r="D78" i="2"/>
  <c r="D77" i="2"/>
  <c r="D76" i="2"/>
  <c r="D75" i="2"/>
  <c r="D71" i="2"/>
  <c r="D70" i="2"/>
  <c r="D69" i="2"/>
  <c r="F69" i="2" s="1"/>
  <c r="D68" i="2"/>
  <c r="D67" i="2"/>
  <c r="D65" i="2"/>
  <c r="I60" i="2"/>
  <c r="D58" i="2"/>
  <c r="F58" i="2" s="1"/>
  <c r="D57" i="2"/>
  <c r="D56" i="2"/>
  <c r="D54" i="2"/>
  <c r="F54" i="2" s="1"/>
  <c r="D53" i="2"/>
  <c r="F53" i="2" s="1"/>
  <c r="D51" i="2"/>
  <c r="D50" i="2"/>
  <c r="D49" i="2"/>
  <c r="D48" i="2"/>
  <c r="D47" i="2"/>
  <c r="D46" i="2"/>
  <c r="I46" i="2" s="1"/>
  <c r="D45" i="2"/>
  <c r="D44" i="2"/>
  <c r="D43" i="2"/>
  <c r="D39" i="2"/>
  <c r="D38" i="2"/>
  <c r="D37" i="2"/>
  <c r="F37" i="2" s="1"/>
  <c r="D36" i="2"/>
  <c r="D35" i="2"/>
  <c r="F35" i="2" s="1"/>
  <c r="I33" i="2"/>
  <c r="D32" i="2"/>
  <c r="F32" i="2" s="1"/>
  <c r="D31" i="2"/>
  <c r="F31" i="2" s="1"/>
  <c r="D8" i="2"/>
  <c r="D10" i="2"/>
  <c r="D11" i="2"/>
  <c r="F11" i="2" s="1"/>
  <c r="D12" i="2"/>
  <c r="D15" i="2"/>
  <c r="D16" i="2"/>
  <c r="D18" i="2"/>
  <c r="D19" i="2"/>
  <c r="F19" i="2" s="1"/>
  <c r="D20" i="2"/>
  <c r="D6" i="2"/>
  <c r="Q10" i="2"/>
  <c r="Q38" i="2"/>
  <c r="Q44" i="2"/>
  <c r="Q102" i="2"/>
  <c r="Q103" i="2"/>
  <c r="Q113" i="2"/>
  <c r="Q114" i="2"/>
  <c r="B9" i="9"/>
  <c r="B8" i="9"/>
  <c r="B7" i="9"/>
  <c r="J7" i="8"/>
  <c r="I7" i="8"/>
  <c r="H7" i="8"/>
  <c r="S11" i="2"/>
  <c r="S12" i="2"/>
  <c r="S13" i="2"/>
  <c r="S14" i="2"/>
  <c r="S15" i="2"/>
  <c r="S16" i="2"/>
  <c r="S17" i="2"/>
  <c r="S18" i="2"/>
  <c r="S19" i="2"/>
  <c r="S20" i="2"/>
  <c r="S21" i="2"/>
  <c r="S22" i="2"/>
  <c r="S23" i="2"/>
  <c r="S24" i="2"/>
  <c r="S26" i="2"/>
  <c r="S27" i="2"/>
  <c r="S28" i="2"/>
  <c r="S29" i="2"/>
  <c r="S30" i="2"/>
  <c r="S31" i="2"/>
  <c r="S33" i="2"/>
  <c r="S35" i="2"/>
  <c r="S36" i="2"/>
  <c r="S37" i="2"/>
  <c r="S38" i="2"/>
  <c r="S39" i="2"/>
  <c r="S41" i="2"/>
  <c r="S42" i="2"/>
  <c r="S43" i="2"/>
  <c r="S44" i="2"/>
  <c r="S45" i="2"/>
  <c r="S46" i="2"/>
  <c r="S47" i="2"/>
  <c r="S48" i="2"/>
  <c r="S50" i="2"/>
  <c r="S51" i="2"/>
  <c r="S52" i="2"/>
  <c r="S53" i="2"/>
  <c r="S54" i="2"/>
  <c r="S55" i="2"/>
  <c r="S56" i="2"/>
  <c r="S57" i="2"/>
  <c r="S58" i="2"/>
  <c r="S59" i="2"/>
  <c r="S60" i="2"/>
  <c r="S61" i="2"/>
  <c r="S62" i="2"/>
  <c r="S63" i="2"/>
  <c r="S64" i="2"/>
  <c r="S65" i="2"/>
  <c r="S66" i="2"/>
  <c r="S67" i="2"/>
  <c r="S68" i="2"/>
  <c r="S69" i="2"/>
  <c r="S70" i="2"/>
  <c r="S71" i="2"/>
  <c r="S72" i="2"/>
  <c r="S73" i="2"/>
  <c r="S74" i="2"/>
  <c r="S75" i="2"/>
  <c r="S79" i="2"/>
  <c r="S80" i="2"/>
  <c r="S81" i="2"/>
  <c r="S82" i="2"/>
  <c r="S84" i="2"/>
  <c r="S85" i="2"/>
  <c r="S86" i="2"/>
  <c r="S92" i="2"/>
  <c r="S93" i="2"/>
  <c r="S94" i="2"/>
  <c r="S95" i="2"/>
  <c r="S96" i="2"/>
  <c r="S97" i="2"/>
  <c r="S99" i="2"/>
  <c r="S100" i="2"/>
  <c r="S102" i="2"/>
  <c r="S104" i="2"/>
  <c r="S105" i="2"/>
  <c r="S106" i="2"/>
  <c r="S107" i="2"/>
  <c r="S108" i="2"/>
  <c r="S109" i="2"/>
  <c r="S111" i="2"/>
  <c r="S112" i="2"/>
  <c r="S115" i="2"/>
  <c r="S116" i="2"/>
  <c r="S117" i="2"/>
  <c r="S118" i="2"/>
  <c r="S119" i="2"/>
  <c r="S120" i="2"/>
  <c r="S122" i="2"/>
  <c r="S123" i="2"/>
  <c r="S124" i="2"/>
  <c r="S125" i="2"/>
  <c r="S126" i="2"/>
  <c r="S127" i="2"/>
  <c r="S128" i="2"/>
  <c r="S129" i="2"/>
  <c r="S9" i="2"/>
  <c r="I21" i="2"/>
  <c r="I22" i="2"/>
  <c r="I23" i="2"/>
  <c r="I24" i="2"/>
  <c r="I26" i="2"/>
  <c r="I27" i="2"/>
  <c r="I29" i="2"/>
  <c r="I30" i="2"/>
  <c r="I41" i="2"/>
  <c r="I42" i="2"/>
  <c r="I61" i="2"/>
  <c r="I63" i="2"/>
  <c r="I64" i="2"/>
  <c r="I73" i="2"/>
  <c r="I74" i="2"/>
  <c r="I81" i="2"/>
  <c r="I83" i="2"/>
  <c r="I84" i="2"/>
  <c r="I85" i="2"/>
  <c r="I86" i="2"/>
  <c r="I87" i="2"/>
  <c r="I96" i="2"/>
  <c r="I98" i="2"/>
  <c r="I99" i="2"/>
  <c r="I108" i="2"/>
  <c r="I110" i="2"/>
  <c r="I111" i="2"/>
  <c r="I115" i="2"/>
  <c r="I121" i="2"/>
  <c r="I122" i="2"/>
  <c r="I127" i="2"/>
  <c r="I128" i="2"/>
  <c r="I129" i="2"/>
  <c r="F45" i="2" l="1"/>
  <c r="I52" i="2"/>
  <c r="I28" i="2"/>
  <c r="R10" i="2"/>
  <c r="S10" i="2" s="1"/>
  <c r="I103" i="2"/>
  <c r="E65" i="5"/>
  <c r="E66" i="5"/>
  <c r="I37" i="2"/>
  <c r="I89" i="2"/>
  <c r="I116" i="2"/>
  <c r="D123" i="2"/>
  <c r="I123" i="2" s="1"/>
  <c r="D124" i="2"/>
  <c r="I124" i="2" s="1"/>
  <c r="D125" i="2"/>
  <c r="I125" i="2" s="1"/>
  <c r="D126" i="2"/>
  <c r="I126" i="2" s="1"/>
  <c r="O49" i="2"/>
  <c r="I9" i="8" s="1"/>
  <c r="R49" i="2"/>
  <c r="E8" i="5"/>
  <c r="E9" i="5"/>
  <c r="E7" i="2" s="1"/>
  <c r="E10" i="5"/>
  <c r="E8" i="2" s="1"/>
  <c r="H8" i="2" s="1"/>
  <c r="E11" i="5"/>
  <c r="E10" i="2" s="1"/>
  <c r="H10" i="2" s="1"/>
  <c r="E12" i="5"/>
  <c r="E11" i="2" s="1"/>
  <c r="E13" i="5"/>
  <c r="E12" i="2" s="1"/>
  <c r="E14" i="5"/>
  <c r="E15" i="2" s="1"/>
  <c r="H15" i="2" s="1"/>
  <c r="E15" i="5"/>
  <c r="E16" i="2" s="1"/>
  <c r="H16" i="2" s="1"/>
  <c r="E16" i="5"/>
  <c r="E17" i="2" s="1"/>
  <c r="H17" i="2" s="1"/>
  <c r="I17" i="2" s="1"/>
  <c r="E17" i="5"/>
  <c r="E18" i="2" s="1"/>
  <c r="E18" i="5"/>
  <c r="E19" i="5"/>
  <c r="E20" i="2" s="1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G32" i="5" s="1"/>
  <c r="E33" i="5"/>
  <c r="E34" i="5"/>
  <c r="E35" i="5"/>
  <c r="E31" i="2" s="1"/>
  <c r="E36" i="5"/>
  <c r="E32" i="2" s="1"/>
  <c r="E37" i="5"/>
  <c r="E35" i="2" s="1"/>
  <c r="E38" i="5"/>
  <c r="E36" i="2" s="1"/>
  <c r="E39" i="5"/>
  <c r="E37" i="2" s="1"/>
  <c r="E40" i="5"/>
  <c r="E38" i="2" s="1"/>
  <c r="H38" i="2" s="1"/>
  <c r="E41" i="5"/>
  <c r="E39" i="2" s="1"/>
  <c r="H39" i="2" s="1"/>
  <c r="E42" i="5"/>
  <c r="E43" i="5"/>
  <c r="E44" i="5"/>
  <c r="E45" i="5"/>
  <c r="E46" i="5"/>
  <c r="E47" i="5"/>
  <c r="E43" i="2" s="1"/>
  <c r="E48" i="5"/>
  <c r="E44" i="2" s="1"/>
  <c r="H44" i="2" s="1"/>
  <c r="I44" i="2" s="1"/>
  <c r="E49" i="5"/>
  <c r="E45" i="2" s="1"/>
  <c r="E50" i="5"/>
  <c r="E46" i="2" s="1"/>
  <c r="E51" i="5"/>
  <c r="E47" i="2" s="1"/>
  <c r="H47" i="2" s="1"/>
  <c r="I47" i="2" s="1"/>
  <c r="E52" i="5"/>
  <c r="E48" i="2" s="1"/>
  <c r="H48" i="2" s="1"/>
  <c r="I48" i="2" s="1"/>
  <c r="E53" i="5"/>
  <c r="E49" i="2" s="1"/>
  <c r="H49" i="2" s="1"/>
  <c r="I49" i="2" s="1"/>
  <c r="E54" i="5"/>
  <c r="E50" i="2" s="1"/>
  <c r="H50" i="2" s="1"/>
  <c r="E55" i="5"/>
  <c r="E51" i="2" s="1"/>
  <c r="H51" i="2" s="1"/>
  <c r="E56" i="5"/>
  <c r="E53" i="2" s="1"/>
  <c r="H53" i="2" s="1"/>
  <c r="E57" i="5"/>
  <c r="E54" i="2" s="1"/>
  <c r="H54" i="2" s="1"/>
  <c r="E58" i="5"/>
  <c r="E56" i="2" s="1"/>
  <c r="E59" i="5"/>
  <c r="E57" i="2" s="1"/>
  <c r="E60" i="5"/>
  <c r="E58" i="2" s="1"/>
  <c r="H58" i="2" s="1"/>
  <c r="E61" i="5"/>
  <c r="E62" i="5"/>
  <c r="E63" i="5"/>
  <c r="E64" i="5"/>
  <c r="E67" i="5"/>
  <c r="E68" i="5"/>
  <c r="E65" i="2" s="1"/>
  <c r="H65" i="2" s="1"/>
  <c r="E69" i="5"/>
  <c r="E67" i="2" s="1"/>
  <c r="H67" i="2" s="1"/>
  <c r="E70" i="5"/>
  <c r="E68" i="2" s="1"/>
  <c r="H68" i="2" s="1"/>
  <c r="E71" i="5"/>
  <c r="E69" i="2" s="1"/>
  <c r="E72" i="5"/>
  <c r="E70" i="2" s="1"/>
  <c r="H70" i="2" s="1"/>
  <c r="E73" i="5"/>
  <c r="E71" i="2" s="1"/>
  <c r="E74" i="5"/>
  <c r="E75" i="2" s="1"/>
  <c r="H75" i="2" s="1"/>
  <c r="E75" i="5"/>
  <c r="E76" i="2" s="1"/>
  <c r="H76" i="2" s="1"/>
  <c r="E76" i="5"/>
  <c r="E77" i="2" s="1"/>
  <c r="H77" i="2" s="1"/>
  <c r="E77" i="5"/>
  <c r="E78" i="2" s="1"/>
  <c r="H78" i="2" s="1"/>
  <c r="E78" i="5"/>
  <c r="E79" i="2" s="1"/>
  <c r="H79" i="2" s="1"/>
  <c r="E79" i="5"/>
  <c r="E80" i="2" s="1"/>
  <c r="H80" i="2" s="1"/>
  <c r="E80" i="5"/>
  <c r="E81" i="5"/>
  <c r="E82" i="5"/>
  <c r="E83" i="5"/>
  <c r="E84" i="5"/>
  <c r="E88" i="2" s="1"/>
  <c r="H88" i="2" s="1"/>
  <c r="E85" i="5"/>
  <c r="E89" i="2" s="1"/>
  <c r="E86" i="5"/>
  <c r="E90" i="2" s="1"/>
  <c r="E87" i="5"/>
  <c r="E91" i="2" s="1"/>
  <c r="H91" i="2" s="1"/>
  <c r="E88" i="5"/>
  <c r="E89" i="5"/>
  <c r="E93" i="2" s="1"/>
  <c r="H93" i="2" s="1"/>
  <c r="E90" i="5"/>
  <c r="E94" i="2" s="1"/>
  <c r="H94" i="2" s="1"/>
  <c r="E91" i="5"/>
  <c r="E95" i="2" s="1"/>
  <c r="H95" i="2" s="1"/>
  <c r="E92" i="5"/>
  <c r="E93" i="5"/>
  <c r="E94" i="5"/>
  <c r="E95" i="5"/>
  <c r="E96" i="5"/>
  <c r="E97" i="5"/>
  <c r="E98" i="5"/>
  <c r="E100" i="2" s="1"/>
  <c r="E99" i="5"/>
  <c r="E101" i="2" s="1"/>
  <c r="H101" i="2" s="1"/>
  <c r="E100" i="5"/>
  <c r="E102" i="2" s="1"/>
  <c r="H102" i="2" s="1"/>
  <c r="E101" i="5"/>
  <c r="E103" i="2" s="1"/>
  <c r="E102" i="5"/>
  <c r="E104" i="2" s="1"/>
  <c r="H104" i="2" s="1"/>
  <c r="E103" i="5"/>
  <c r="E104" i="5"/>
  <c r="E7" i="5"/>
  <c r="G105" i="5"/>
  <c r="G106" i="5"/>
  <c r="G107" i="5"/>
  <c r="G108" i="5"/>
  <c r="G109" i="5"/>
  <c r="G110" i="5"/>
  <c r="G111" i="5"/>
  <c r="H7" i="2" l="1"/>
  <c r="I7" i="2" s="1"/>
  <c r="G12" i="2"/>
  <c r="H12" i="2" s="1"/>
  <c r="G20" i="2"/>
  <c r="H20" i="2"/>
  <c r="I20" i="2" s="1"/>
  <c r="E6" i="2"/>
  <c r="G104" i="5"/>
  <c r="E92" i="2"/>
  <c r="H92" i="2" s="1"/>
  <c r="G103" i="5"/>
  <c r="E105" i="2"/>
  <c r="G11" i="2"/>
  <c r="H11" i="2" s="1"/>
  <c r="I106" i="2"/>
  <c r="G32" i="2"/>
  <c r="H32" i="2" s="1"/>
  <c r="I32" i="2" s="1"/>
  <c r="G112" i="2"/>
  <c r="I36" i="2"/>
  <c r="D109" i="2"/>
  <c r="I112" i="2"/>
  <c r="I68" i="2"/>
  <c r="I10" i="2"/>
  <c r="I91" i="2"/>
  <c r="I59" i="2"/>
  <c r="D82" i="2"/>
  <c r="F82" i="2" s="1"/>
  <c r="D25" i="2"/>
  <c r="F25" i="2" s="1"/>
  <c r="D97" i="2"/>
  <c r="F97" i="2" s="1"/>
  <c r="D40" i="2"/>
  <c r="D72" i="2"/>
  <c r="F72" i="2" s="1"/>
  <c r="D62" i="2"/>
  <c r="O48" i="2"/>
  <c r="C6" i="9"/>
  <c r="H105" i="2" l="1"/>
  <c r="H6" i="2"/>
  <c r="I6" i="2" s="1"/>
  <c r="E25" i="2"/>
  <c r="I76" i="2"/>
  <c r="D130" i="2"/>
  <c r="C9" i="9"/>
  <c r="C8" i="9"/>
  <c r="C7" i="9"/>
  <c r="B7" i="8" l="1"/>
  <c r="J9" i="8" l="1"/>
  <c r="C72" i="2"/>
  <c r="C25" i="2"/>
  <c r="C109" i="2"/>
  <c r="C40" i="2"/>
  <c r="C62" i="2"/>
  <c r="C82" i="2"/>
  <c r="C97" i="2"/>
  <c r="C120" i="2"/>
  <c r="C130" i="2" l="1"/>
  <c r="B6" i="8"/>
  <c r="B8" i="8"/>
  <c r="B9" i="8"/>
  <c r="B10" i="8"/>
  <c r="B11" i="8"/>
  <c r="B12" i="8"/>
  <c r="B13" i="8"/>
  <c r="B14" i="8"/>
  <c r="B16" i="8" l="1"/>
  <c r="R114" i="2" l="1"/>
  <c r="S114" i="2" s="1"/>
  <c r="G114" i="5"/>
  <c r="G113" i="5"/>
  <c r="G112" i="5"/>
  <c r="E127" i="5"/>
  <c r="E128" i="5"/>
  <c r="E129" i="5"/>
  <c r="E130" i="5"/>
  <c r="E131" i="5"/>
  <c r="E132" i="5"/>
  <c r="Q91" i="2" l="1"/>
  <c r="O121" i="2"/>
  <c r="I14" i="8" s="1"/>
  <c r="O8" i="2"/>
  <c r="Q8" i="2" s="1"/>
  <c r="R103" i="2"/>
  <c r="S103" i="2" s="1"/>
  <c r="I104" i="2"/>
  <c r="R101" i="2"/>
  <c r="S101" i="2" s="1"/>
  <c r="G37" i="2"/>
  <c r="G45" i="2"/>
  <c r="H45" i="2" s="1"/>
  <c r="I45" i="2" s="1"/>
  <c r="I39" i="2"/>
  <c r="G18" i="2"/>
  <c r="H18" i="2" s="1"/>
  <c r="I18" i="2" s="1"/>
  <c r="R91" i="2" l="1"/>
  <c r="S91" i="2" s="1"/>
  <c r="I58" i="2"/>
  <c r="H113" i="2"/>
  <c r="I105" i="2"/>
  <c r="H107" i="2"/>
  <c r="I107" i="2" s="1"/>
  <c r="H43" i="2"/>
  <c r="I43" i="2" s="1"/>
  <c r="H118" i="2"/>
  <c r="I118" i="2" s="1"/>
  <c r="I8" i="2"/>
  <c r="I15" i="2"/>
  <c r="R113" i="2"/>
  <c r="R8" i="2"/>
  <c r="S8" i="2" s="1"/>
  <c r="R110" i="2"/>
  <c r="O37" i="2"/>
  <c r="I11" i="2"/>
  <c r="O77" i="2"/>
  <c r="Q77" i="2" s="1"/>
  <c r="Q89" i="2"/>
  <c r="O78" i="2"/>
  <c r="Q78" i="2" s="1"/>
  <c r="O32" i="2"/>
  <c r="Q32" i="2" s="1"/>
  <c r="G57" i="2"/>
  <c r="G69" i="2"/>
  <c r="H69" i="2" s="1"/>
  <c r="Q87" i="2"/>
  <c r="O34" i="2"/>
  <c r="R34" i="2" s="1"/>
  <c r="S34" i="2" s="1"/>
  <c r="G35" i="2"/>
  <c r="H35" i="2" s="1"/>
  <c r="I70" i="2"/>
  <c r="Q88" i="2"/>
  <c r="G89" i="2"/>
  <c r="G19" i="2"/>
  <c r="H19" i="2" s="1"/>
  <c r="I19" i="2" s="1"/>
  <c r="G71" i="2"/>
  <c r="H71" i="2" s="1"/>
  <c r="Q90" i="2"/>
  <c r="I101" i="2"/>
  <c r="O76" i="2"/>
  <c r="Q76" i="2" s="1"/>
  <c r="G90" i="2"/>
  <c r="H90" i="2" s="1"/>
  <c r="I90" i="2" s="1"/>
  <c r="O38" i="2"/>
  <c r="I12" i="2"/>
  <c r="G31" i="2"/>
  <c r="H31" i="2" s="1"/>
  <c r="I65" i="2" l="1"/>
  <c r="E109" i="2"/>
  <c r="G100" i="2"/>
  <c r="H100" i="2" s="1"/>
  <c r="R121" i="2"/>
  <c r="J14" i="8" s="1"/>
  <c r="S113" i="2"/>
  <c r="J13" i="8"/>
  <c r="I113" i="2"/>
  <c r="R88" i="2"/>
  <c r="S88" i="2" s="1"/>
  <c r="R90" i="2"/>
  <c r="S90" i="2" s="1"/>
  <c r="R89" i="2"/>
  <c r="S89" i="2" s="1"/>
  <c r="R87" i="2"/>
  <c r="S87" i="2" s="1"/>
  <c r="R78" i="2"/>
  <c r="S78" i="2" s="1"/>
  <c r="R77" i="2"/>
  <c r="S77" i="2" s="1"/>
  <c r="R32" i="2"/>
  <c r="I78" i="2"/>
  <c r="I75" i="2"/>
  <c r="I94" i="2"/>
  <c r="I71" i="2"/>
  <c r="I35" i="2"/>
  <c r="I31" i="2"/>
  <c r="C14" i="8"/>
  <c r="I95" i="2"/>
  <c r="I69" i="2"/>
  <c r="I79" i="2"/>
  <c r="I102" i="2"/>
  <c r="I80" i="2"/>
  <c r="I77" i="2"/>
  <c r="I93" i="2"/>
  <c r="I16" i="2"/>
  <c r="I53" i="2"/>
  <c r="I51" i="2"/>
  <c r="I38" i="2"/>
  <c r="I67" i="2"/>
  <c r="I100" i="2"/>
  <c r="I88" i="2"/>
  <c r="I50" i="2"/>
  <c r="I92" i="2"/>
  <c r="C7" i="8"/>
  <c r="D7" i="8"/>
  <c r="R76" i="2"/>
  <c r="S76" i="2" s="1"/>
  <c r="R25" i="2"/>
  <c r="E40" i="2"/>
  <c r="O110" i="2"/>
  <c r="I13" i="8" s="1"/>
  <c r="E62" i="2"/>
  <c r="C9" i="8" s="1"/>
  <c r="O25" i="2"/>
  <c r="I6" i="8" s="1"/>
  <c r="O83" i="2"/>
  <c r="I11" i="8" s="1"/>
  <c r="O98" i="2"/>
  <c r="I12" i="8" s="1"/>
  <c r="E72" i="2"/>
  <c r="G72" i="2" s="1"/>
  <c r="E82" i="2"/>
  <c r="G82" i="2" s="1"/>
  <c r="O40" i="2"/>
  <c r="I8" i="8" s="1"/>
  <c r="E97" i="2"/>
  <c r="G97" i="2" s="1"/>
  <c r="H72" i="2" l="1"/>
  <c r="J6" i="8"/>
  <c r="R40" i="2"/>
  <c r="S32" i="2"/>
  <c r="H82" i="2"/>
  <c r="H62" i="2"/>
  <c r="I54" i="2"/>
  <c r="R98" i="2"/>
  <c r="D14" i="8"/>
  <c r="E14" i="8" s="1"/>
  <c r="H40" i="2"/>
  <c r="H109" i="2"/>
  <c r="H97" i="2"/>
  <c r="C11" i="8"/>
  <c r="C10" i="8"/>
  <c r="C13" i="8"/>
  <c r="C12" i="8"/>
  <c r="C8" i="8"/>
  <c r="E7" i="8"/>
  <c r="R83" i="2"/>
  <c r="I16" i="8"/>
  <c r="O130" i="2"/>
  <c r="N83" i="2"/>
  <c r="H11" i="8" s="1"/>
  <c r="N121" i="2"/>
  <c r="S121" i="2" s="1"/>
  <c r="N40" i="2"/>
  <c r="H8" i="8" s="1"/>
  <c r="N49" i="2"/>
  <c r="N110" i="2"/>
  <c r="N98" i="2"/>
  <c r="H12" i="8" s="1"/>
  <c r="N25" i="2"/>
  <c r="H6" i="8" s="1"/>
  <c r="K6" i="8" l="1"/>
  <c r="S83" i="2"/>
  <c r="H13" i="8"/>
  <c r="K13" i="8" s="1"/>
  <c r="S110" i="2"/>
  <c r="H9" i="8"/>
  <c r="K9" i="8" s="1"/>
  <c r="S49" i="2"/>
  <c r="J8" i="8"/>
  <c r="K8" i="8" s="1"/>
  <c r="S40" i="2"/>
  <c r="J12" i="8"/>
  <c r="K12" i="8" s="1"/>
  <c r="S98" i="2"/>
  <c r="S25" i="2"/>
  <c r="D8" i="8"/>
  <c r="E8" i="8" s="1"/>
  <c r="I40" i="2"/>
  <c r="D9" i="8"/>
  <c r="E9" i="8" s="1"/>
  <c r="I62" i="2"/>
  <c r="D12" i="8"/>
  <c r="E12" i="8" s="1"/>
  <c r="I97" i="2"/>
  <c r="D13" i="8"/>
  <c r="E13" i="8" s="1"/>
  <c r="I109" i="2"/>
  <c r="D10" i="8"/>
  <c r="E10" i="8" s="1"/>
  <c r="I72" i="2"/>
  <c r="D11" i="8"/>
  <c r="E11" i="8" s="1"/>
  <c r="I82" i="2"/>
  <c r="H14" i="8"/>
  <c r="K14" i="8" s="1"/>
  <c r="N130" i="2"/>
  <c r="J11" i="8"/>
  <c r="R130" i="2"/>
  <c r="H16" i="8" l="1"/>
  <c r="S130" i="2"/>
  <c r="J16" i="8"/>
  <c r="E21" i="8" s="1"/>
  <c r="K11" i="8"/>
  <c r="K16" i="8" l="1"/>
  <c r="E130" i="2" l="1"/>
  <c r="G25" i="2"/>
  <c r="C6" i="8"/>
  <c r="C16" i="8" s="1"/>
  <c r="H25" i="2"/>
  <c r="H130" i="2" l="1"/>
  <c r="I130" i="2" s="1"/>
  <c r="I25" i="2"/>
  <c r="D6" i="8"/>
  <c r="E6" i="8" s="1"/>
  <c r="D16" i="8" l="1"/>
  <c r="E16" i="8" s="1"/>
  <c r="E23" i="8" l="1"/>
  <c r="E25" i="8" s="1"/>
</calcChain>
</file>

<file path=xl/sharedStrings.xml><?xml version="1.0" encoding="utf-8"?>
<sst xmlns="http://schemas.openxmlformats.org/spreadsheetml/2006/main" count="373" uniqueCount="325">
  <si>
    <t>SOUTHWELL TOWN COUNCIL</t>
  </si>
  <si>
    <t>EXPENDITURE</t>
  </si>
  <si>
    <t>INCOME</t>
  </si>
  <si>
    <t>Code</t>
  </si>
  <si>
    <t>ADMINISTRATION</t>
  </si>
  <si>
    <t>PRECEPT &amp; INTEREST</t>
  </si>
  <si>
    <t>EMERGENCY HUB</t>
  </si>
  <si>
    <t>TELEPHONE</t>
  </si>
  <si>
    <t>PRECEPT</t>
  </si>
  <si>
    <t>POSTAGE</t>
  </si>
  <si>
    <t>NSDC PAYMENT</t>
  </si>
  <si>
    <t>INTEREST</t>
  </si>
  <si>
    <t>TRAVEL EXPENSES</t>
  </si>
  <si>
    <t>COPIER HIRE &amp; CHARGES</t>
  </si>
  <si>
    <t>BANK CHARGES</t>
  </si>
  <si>
    <t>PROFESSIONAL FEES</t>
  </si>
  <si>
    <t>AUDIT FEES</t>
  </si>
  <si>
    <t>COMMITTEE SUPPORT/ELECTION</t>
  </si>
  <si>
    <t>I.T. SUPPORT</t>
  </si>
  <si>
    <t>COMMUNICATIONS</t>
  </si>
  <si>
    <t>MARKETING</t>
  </si>
  <si>
    <t>COVID</t>
  </si>
  <si>
    <t>TOTAL ADMINISTRATION</t>
  </si>
  <si>
    <t>STAFF COSTS</t>
  </si>
  <si>
    <t>TOWN CENTRE</t>
  </si>
  <si>
    <t>SEATS</t>
  </si>
  <si>
    <t>BRIGHTENING TOWN INCOME</t>
  </si>
  <si>
    <t>FROM THE BURGAGE</t>
  </si>
  <si>
    <t>CAR PARK RATES</t>
  </si>
  <si>
    <t>POTWELL DYKE</t>
  </si>
  <si>
    <t>RECYCLING INCOME</t>
  </si>
  <si>
    <t>NOTICEBOARD INCOME</t>
  </si>
  <si>
    <t>TOWN FORUM</t>
  </si>
  <si>
    <t>NEIGHBOURHOOD PLAN GRANT</t>
  </si>
  <si>
    <t>LENGTHSMAN SCHEME GRANT</t>
  </si>
  <si>
    <t>DOG-BINS &amp; LITTER PICKING/BINS</t>
  </si>
  <si>
    <t>UTILITIES (PUBLIC AREAS)</t>
  </si>
  <si>
    <t>TOTAL TOWN ENVIRONMENT</t>
  </si>
  <si>
    <t>PARKS &amp; OPEN SPACES</t>
  </si>
  <si>
    <t>WORKSHOP UTILITIES</t>
  </si>
  <si>
    <t>PITCH HIRE</t>
  </si>
  <si>
    <t>GROUNDSTAFF MOBILES</t>
  </si>
  <si>
    <t>GROUND RENTS</t>
  </si>
  <si>
    <t>TOOLS/MAINT/EQUIP</t>
  </si>
  <si>
    <t>1489</t>
  </si>
  <si>
    <t>ELECTRICITY RECHARGE</t>
  </si>
  <si>
    <t>HORTICULTURAL MATERIALS</t>
  </si>
  <si>
    <t>REWILDING &amp; SIGNAGE</t>
  </si>
  <si>
    <t>EQUIPMENT MAINTENANCE</t>
  </si>
  <si>
    <t>MINSTER FIELD RENT</t>
  </si>
  <si>
    <t>STATUTORY INSPECTIONS</t>
  </si>
  <si>
    <t>CONTRACTOR MOWING</t>
  </si>
  <si>
    <t>SKATE PARK MAINTENANCE</t>
  </si>
  <si>
    <t>CONTRACTOR (MINSTER &amp; HARVEY)</t>
  </si>
  <si>
    <t>TREE MAINTENANCE</t>
  </si>
  <si>
    <t>PUBLIC TOILET PROVISION</t>
  </si>
  <si>
    <t>VAN HIRE</t>
  </si>
  <si>
    <t>TOTAL PARKS &amp; OPEN SPACES</t>
  </si>
  <si>
    <t>CHURCH STREET TOILETS</t>
  </si>
  <si>
    <t>LEGIONELLA CONTRACT</t>
  </si>
  <si>
    <t>RATES</t>
  </si>
  <si>
    <t>WATER &amp; SEWERAGE</t>
  </si>
  <si>
    <t>ELECTRICITY</t>
  </si>
  <si>
    <t>CLEANING MATERIALS</t>
  </si>
  <si>
    <t>CONTRACT CLEANING</t>
  </si>
  <si>
    <t>REPAIRS AND MAINTENANCE</t>
  </si>
  <si>
    <t>MARKETS</t>
  </si>
  <si>
    <t>SATURDAY TOLLS</t>
  </si>
  <si>
    <t>MARKET STAFF</t>
  </si>
  <si>
    <t>THURSDAY TOLLS</t>
  </si>
  <si>
    <t>SPECIALIST MARKET TOLLS</t>
  </si>
  <si>
    <t>WATER</t>
  </si>
  <si>
    <t xml:space="preserve">TOTAL MARKETS </t>
  </si>
  <si>
    <t xml:space="preserve"> CAR PARKS</t>
  </si>
  <si>
    <t>CIVIL ENFORCEMENT OFFICER</t>
  </si>
  <si>
    <t>TICKET MACHINE SALES CH ST</t>
  </si>
  <si>
    <t>TRIBUNAL REPRESENTATION</t>
  </si>
  <si>
    <t>TICKET MACHINE SALES KG ST</t>
  </si>
  <si>
    <t>METRIC MACHINE MAINTENANCE</t>
  </si>
  <si>
    <t>CHURCH STREET PERMITS</t>
  </si>
  <si>
    <t>KING STREET PERMITS</t>
  </si>
  <si>
    <t>BRAMLEY STREET SALES</t>
  </si>
  <si>
    <t>BRAMLEY STREET PERMITS</t>
  </si>
  <si>
    <t>SEWAGE AND WATER CHARGES</t>
  </si>
  <si>
    <t xml:space="preserve">Collection charges </t>
  </si>
  <si>
    <t>TOTAL CAR PARKS</t>
  </si>
  <si>
    <t>THE OLD COURTHOUSE</t>
  </si>
  <si>
    <t>ROOM HIRE</t>
  </si>
  <si>
    <t>GAS, ELECTRICITY &amp; REFUSE</t>
  </si>
  <si>
    <t>RENT FROM POLICE</t>
  </si>
  <si>
    <t>COURTHOUSE CHAMBERS</t>
  </si>
  <si>
    <t>GARAGE</t>
  </si>
  <si>
    <t>MAINTENANCE</t>
  </si>
  <si>
    <t>CLEANING</t>
  </si>
  <si>
    <t>PUBLIC WORKS LOAN BOARD</t>
  </si>
  <si>
    <t>SUNDRY OFFICE COSTS</t>
  </si>
  <si>
    <t xml:space="preserve">TOTAL COURTHOUSE </t>
  </si>
  <si>
    <t>TOURISM &amp; COMMICATIONS</t>
  </si>
  <si>
    <t>TIC RENT</t>
  </si>
  <si>
    <t>EVENT GRANT AID</t>
  </si>
  <si>
    <t>EVENT INCOME</t>
  </si>
  <si>
    <t>OFFICE COSTS</t>
  </si>
  <si>
    <t>THEATRE INCOME</t>
  </si>
  <si>
    <t>CIVIC CHAMPIONS</t>
  </si>
  <si>
    <t>VOLUNTEER EXPENSES</t>
  </si>
  <si>
    <t>TOWN EVENTS</t>
  </si>
  <si>
    <t>TOURISM SAT COVER</t>
  </si>
  <si>
    <t>TOTAL TOURISM &amp; COMMS</t>
  </si>
  <si>
    <t>LAND</t>
  </si>
  <si>
    <t>HUMBERSTONE ROAD</t>
  </si>
  <si>
    <t>DUDLEY DOY</t>
  </si>
  <si>
    <t>ADAMS ROW</t>
  </si>
  <si>
    <t>TOTAL LAND</t>
  </si>
  <si>
    <t>TOTAL EXPENDITURE</t>
  </si>
  <si>
    <t xml:space="preserve">Total Income </t>
  </si>
  <si>
    <t xml:space="preserve"> Total Contribution to reserves </t>
  </si>
  <si>
    <t xml:space="preserve"> Stair lift accrual </t>
  </si>
  <si>
    <t xml:space="preserve"> Election accrual </t>
  </si>
  <si>
    <t xml:space="preserve"> Flood Mitigation Reserve </t>
  </si>
  <si>
    <t>R &amp; RI Reserve</t>
  </si>
  <si>
    <t>Toilets Reserve</t>
  </si>
  <si>
    <t>Courthouse Reserve</t>
  </si>
  <si>
    <t>Car Park Reserves</t>
  </si>
  <si>
    <t xml:space="preserve">General reserve </t>
  </si>
  <si>
    <t xml:space="preserve">Remember Opus dispute £4172.19 from Electricity Courthouse </t>
  </si>
  <si>
    <t>CIL TRANSFER</t>
  </si>
  <si>
    <t>Toilets</t>
  </si>
  <si>
    <t>Markets</t>
  </si>
  <si>
    <t>Courthouse</t>
  </si>
  <si>
    <t xml:space="preserve">TRAINING </t>
  </si>
  <si>
    <t xml:space="preserve">STATIONERY </t>
  </si>
  <si>
    <t xml:space="preserve">SUBSCRIPTIONS </t>
  </si>
  <si>
    <t xml:space="preserve">INSURANCE </t>
  </si>
  <si>
    <t xml:space="preserve">CIVIC EVENTS </t>
  </si>
  <si>
    <t xml:space="preserve">S137 </t>
  </si>
  <si>
    <t xml:space="preserve">CHRISTMAS LIGHTS &amp; TREES </t>
  </si>
  <si>
    <t xml:space="preserve">BASKETS &amp; PLANTERS </t>
  </si>
  <si>
    <t xml:space="preserve">CCTV </t>
  </si>
  <si>
    <t xml:space="preserve">WORKSHOP RATES </t>
  </si>
  <si>
    <t xml:space="preserve">MINOR WORKS </t>
  </si>
  <si>
    <t xml:space="preserve">FUEL </t>
  </si>
  <si>
    <t xml:space="preserve">REFUSE CHARGES </t>
  </si>
  <si>
    <t xml:space="preserve">REFUSE </t>
  </si>
  <si>
    <t xml:space="preserve">RATES </t>
  </si>
  <si>
    <t xml:space="preserve">REPAIRS &amp; MAINTENANCE </t>
  </si>
  <si>
    <t xml:space="preserve">CCTV SLA </t>
  </si>
  <si>
    <t xml:space="preserve">COST OF TICKETS </t>
  </si>
  <si>
    <t xml:space="preserve">PROMOTIONS &amp; ADVERTISING </t>
  </si>
  <si>
    <t xml:space="preserve">CAR PARK INCOME </t>
  </si>
  <si>
    <t>Cost Centre Report</t>
  </si>
  <si>
    <t xml:space="preserve">Actual Year </t>
  </si>
  <si>
    <t xml:space="preserve">Funds Available </t>
  </si>
  <si>
    <t>% Spent</t>
  </si>
  <si>
    <t>Precept</t>
  </si>
  <si>
    <t>Interest</t>
  </si>
  <si>
    <t>Training</t>
  </si>
  <si>
    <t>Telephone</t>
  </si>
  <si>
    <t>Stationery</t>
  </si>
  <si>
    <t>Subscriptions</t>
  </si>
  <si>
    <t>Insurance</t>
  </si>
  <si>
    <t>Copier Hire &amp; Charges</t>
  </si>
  <si>
    <t>Bank Charges</t>
  </si>
  <si>
    <t>Committee Support</t>
  </si>
  <si>
    <t>IT Support</t>
  </si>
  <si>
    <t>Town Centre</t>
  </si>
  <si>
    <t>Income from the Burgage</t>
  </si>
  <si>
    <t>Recycling Income</t>
  </si>
  <si>
    <t>Lengthsmans Grant</t>
  </si>
  <si>
    <t>Car Park Lease</t>
  </si>
  <si>
    <t>Seats</t>
  </si>
  <si>
    <t>Christmas Trees</t>
  </si>
  <si>
    <t>Baskets &amp; Planters</t>
  </si>
  <si>
    <t>CCTV</t>
  </si>
  <si>
    <t>Dog Bins &amp; Litter Picking</t>
  </si>
  <si>
    <t>Lighting/Utilites Public Areas</t>
  </si>
  <si>
    <t>Pitch Hire</t>
  </si>
  <si>
    <t>Ground Rents</t>
  </si>
  <si>
    <t>Workshop Rates</t>
  </si>
  <si>
    <t>Workshop Utilities</t>
  </si>
  <si>
    <t>Groundstaff Mobiles</t>
  </si>
  <si>
    <t xml:space="preserve"> Tools,Maintenance &amp; Equip</t>
  </si>
  <si>
    <t>Horticultural Materials</t>
  </si>
  <si>
    <t>Rewilding &amp; Signage</t>
  </si>
  <si>
    <t>Minor Works</t>
  </si>
  <si>
    <t>Equipment Maintenance</t>
  </si>
  <si>
    <t>Fuel</t>
  </si>
  <si>
    <t>Statutory Inspections</t>
  </si>
  <si>
    <t>Refuse Charges</t>
  </si>
  <si>
    <t>Contractor (Minster &amp; Harvey)</t>
  </si>
  <si>
    <t>Tree Maintenance</t>
  </si>
  <si>
    <t>Legionella Contract</t>
  </si>
  <si>
    <t>Water &amp; Sewerage</t>
  </si>
  <si>
    <t>Electricity</t>
  </si>
  <si>
    <t>Cleaning Materials</t>
  </si>
  <si>
    <t>Contract Cleaning</t>
  </si>
  <si>
    <t>Repairs &amp; Maintenance</t>
  </si>
  <si>
    <t>Saturday Tolls</t>
  </si>
  <si>
    <t>Thursday Tolls</t>
  </si>
  <si>
    <t>Specialist Markets</t>
  </si>
  <si>
    <t>Waste Disposal SLA</t>
  </si>
  <si>
    <t>Water</t>
  </si>
  <si>
    <t>Rates</t>
  </si>
  <si>
    <t>Repairs and Maintenance</t>
  </si>
  <si>
    <t>Car Parks</t>
  </si>
  <si>
    <t>Ticket Machine Sales Ch St</t>
  </si>
  <si>
    <t>Ticket Machine Sales</t>
  </si>
  <si>
    <t>King Street Permits</t>
  </si>
  <si>
    <t>Ticket Machine Sales(Bram/Lib)</t>
  </si>
  <si>
    <t>Church Street Permits</t>
  </si>
  <si>
    <t>Metric Machine Manintenance</t>
  </si>
  <si>
    <t>CCTV SLA</t>
  </si>
  <si>
    <t>Sewerage and Water Costs</t>
  </si>
  <si>
    <t>Costs of Tickets</t>
  </si>
  <si>
    <t>Collection Charges</t>
  </si>
  <si>
    <t>Room Hire</t>
  </si>
  <si>
    <t>Rent from Police</t>
  </si>
  <si>
    <t>Courthouse Chambers</t>
  </si>
  <si>
    <t>Gas, Electricity &amp; Refuse</t>
  </si>
  <si>
    <t>Maintenance</t>
  </si>
  <si>
    <t>Cleaning</t>
  </si>
  <si>
    <t>Public Works Loan Board</t>
  </si>
  <si>
    <t>Sundry Office Costs</t>
  </si>
  <si>
    <t>Event Grant Aid</t>
  </si>
  <si>
    <t>Event Income</t>
  </si>
  <si>
    <t>Tourist Information Cntr Rent</t>
  </si>
  <si>
    <t>Communications</t>
  </si>
  <si>
    <t>Town Events</t>
  </si>
  <si>
    <t>Acutal %</t>
  </si>
  <si>
    <t xml:space="preserve">Profile Spend </t>
  </si>
  <si>
    <t>Profile Income</t>
  </si>
  <si>
    <t xml:space="preserve">Transfer </t>
  </si>
  <si>
    <t>Audit &amp; Other Fees</t>
  </si>
  <si>
    <t>Miscellaneous Income</t>
  </si>
  <si>
    <t>Skate Park Maintenance</t>
  </si>
  <si>
    <t>Grant</t>
  </si>
  <si>
    <t>Agenda item 16.1 Quarter 1 Expenditure to Date</t>
  </si>
  <si>
    <t>Detailed Income &amp; Expenditure by Budget Heading 30/06/2023</t>
  </si>
  <si>
    <t>After Resereves  Transfer</t>
  </si>
  <si>
    <t>Current Annual Budget</t>
  </si>
  <si>
    <t>Profile % Income/Spend</t>
  </si>
  <si>
    <t>Notes</t>
  </si>
  <si>
    <t xml:space="preserve">Repair to urinals and blockage </t>
  </si>
  <si>
    <t>No advertiser</t>
  </si>
  <si>
    <t xml:space="preserve">22/23 Actual </t>
  </si>
  <si>
    <t>Explanation</t>
  </si>
  <si>
    <t>GRANT</t>
  </si>
  <si>
    <t>A</t>
  </si>
  <si>
    <t>B</t>
  </si>
  <si>
    <t>Projected</t>
  </si>
  <si>
    <t>Out Turn</t>
  </si>
  <si>
    <t>%</t>
  </si>
  <si>
    <t>Admin</t>
  </si>
  <si>
    <t>Precept &amp; Interest</t>
  </si>
  <si>
    <t>Staff</t>
  </si>
  <si>
    <t xml:space="preserve">Town Centre </t>
  </si>
  <si>
    <t>Parks</t>
  </si>
  <si>
    <t>Tourism &amp; Comms</t>
  </si>
  <si>
    <t>Land</t>
  </si>
  <si>
    <t>TOTALS</t>
  </si>
  <si>
    <t>Last payment Feb 25</t>
  </si>
  <si>
    <t>24/25 Budget</t>
  </si>
  <si>
    <t>TOTAL STAFF COSTS (includes +6% Clerk reduction and inc for WP)</t>
  </si>
  <si>
    <t xml:space="preserve">INSPIRE PAYMENT </t>
  </si>
  <si>
    <t xml:space="preserve">  Humberstone/Dudley £5k)</t>
  </si>
  <si>
    <t>Budget line required</t>
  </si>
  <si>
    <t>1 bench</t>
  </si>
  <si>
    <t>Mower bed repair battery mower</t>
  </si>
  <si>
    <t>Cil Humbertone</t>
  </si>
  <si>
    <t xml:space="preserve">Projected Excess Income Expenditure </t>
  </si>
  <si>
    <t>Precept options</t>
  </si>
  <si>
    <t xml:space="preserve">Percentage </t>
  </si>
  <si>
    <t xml:space="preserve">Budget </t>
  </si>
  <si>
    <t>Band D</t>
  </si>
  <si>
    <t xml:space="preserve">24/25 Tax Base </t>
  </si>
  <si>
    <t xml:space="preserve">23/24 Tax Base </t>
  </si>
  <si>
    <t>Contractor (Thursday)</t>
  </si>
  <si>
    <t>MISC INCOME</t>
  </si>
  <si>
    <t xml:space="preserve">New contractor </t>
  </si>
  <si>
    <t>Legal Fees</t>
  </si>
  <si>
    <t>Cycle to work</t>
  </si>
  <si>
    <t>Cycle to Work</t>
  </si>
  <si>
    <t>Town Forum</t>
  </si>
  <si>
    <t>Brightening Town Income</t>
  </si>
  <si>
    <t>BRAMLEY CAR PARK PAYMENT</t>
  </si>
  <si>
    <t>Volunteer Expenses</t>
  </si>
  <si>
    <t>Minus Repair WM</t>
  </si>
  <si>
    <t>Look at new system 25/26</t>
  </si>
  <si>
    <t>Solicitor &amp; HR Fees</t>
  </si>
  <si>
    <t>NSDC cost</t>
  </si>
  <si>
    <t>Extra bins purchased</t>
  </si>
  <si>
    <t>SCFC 50% 25/26 reduce costs</t>
  </si>
  <si>
    <t>£444 to replace stoled goosds</t>
  </si>
  <si>
    <t>Reduce bins</t>
  </si>
  <si>
    <t xml:space="preserve">NSDC cost </t>
  </si>
  <si>
    <t>New Police rates!</t>
  </si>
  <si>
    <t>One visit from Fair</t>
  </si>
  <si>
    <t>24/25 Actual</t>
  </si>
  <si>
    <t xml:space="preserve">Actual  24/25 </t>
  </si>
  <si>
    <t>24/25 Projected outurn</t>
  </si>
  <si>
    <t xml:space="preserve">Budget  24/25 </t>
  </si>
  <si>
    <t>Projected versus budget</t>
  </si>
  <si>
    <t>Budget 25/26</t>
  </si>
  <si>
    <t>Inc required for 25/26</t>
  </si>
  <si>
    <t>24/25</t>
  </si>
  <si>
    <t xml:space="preserve">Budgetline required </t>
  </si>
  <si>
    <t xml:space="preserve">NSDC glass collections </t>
  </si>
  <si>
    <t>Projected Income 24/25</t>
  </si>
  <si>
    <t>Projected Expenditure 24/25</t>
  </si>
  <si>
    <t xml:space="preserve">Projected Out turn 24/25 </t>
  </si>
  <si>
    <t>Rent Office</t>
  </si>
  <si>
    <t>Emergency Hub</t>
  </si>
  <si>
    <t>Marketing</t>
  </si>
  <si>
    <t>Clerk</t>
  </si>
  <si>
    <t>Deputy Clerk</t>
  </si>
  <si>
    <t>Finance Assistant</t>
  </si>
  <si>
    <t>Community Groundsman 1</t>
  </si>
  <si>
    <t>Community Groundsman 2</t>
  </si>
  <si>
    <t>Community Groundsman 3</t>
  </si>
  <si>
    <t>Community Groundsman4</t>
  </si>
  <si>
    <t>Fixed Pension Payment</t>
  </si>
  <si>
    <t>Admin Assistant</t>
  </si>
  <si>
    <t>Specialist Markets x4 Contract</t>
  </si>
  <si>
    <t>Grant recevied</t>
  </si>
  <si>
    <t>£2000 for New Signs/Order £250 mnth PbP</t>
  </si>
  <si>
    <t>Agenda item 158.1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</si>
</sst>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3" formatCode="_-* #,##0.00_-;\-* #,##0.00_-;_-* &quot;-&quot;??_-;_-@_-"/>
    <numFmt numFmtId="164" formatCode="_-* #,##0_-;\-* #,##0_-;_-* &quot;-&quot;??_-;_-@_-"/>
    <numFmt numFmtId="165" formatCode="0.000000000%"/>
    <numFmt numFmtId="166" formatCode="_-&quot;£&quot;* #,##0_-;\-&quot;£&quot;* #,##0_-;_-&quot;£&quot;* &quot;-&quot;??_-;_-@_-"/>
    <numFmt numFmtId="167" formatCode="#,##0_ ;\-#,##0\ "/>
  </numFmts>
  <fonts count="24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Calibri"/>
      <family val="2"/>
    </font>
    <font>
      <b/>
      <sz val="10"/>
      <name val="Calibri"/>
      <family val="2"/>
    </font>
    <font>
      <sz val="9"/>
      <name val="Calibri"/>
      <family val="2"/>
    </font>
    <font>
      <b/>
      <sz val="18"/>
      <name val="Calibri"/>
      <family val="2"/>
    </font>
    <font>
      <b/>
      <sz val="12"/>
      <name val="Calibri"/>
      <family val="2"/>
    </font>
    <font>
      <u/>
      <sz val="10"/>
      <name val="Calibri"/>
      <family val="2"/>
    </font>
    <font>
      <b/>
      <u/>
      <sz val="10"/>
      <name val="Calibri"/>
      <family val="2"/>
    </font>
    <font>
      <sz val="10"/>
      <name val="Calibri"/>
      <family val="2"/>
    </font>
    <font>
      <b/>
      <sz val="10"/>
      <color indexed="10"/>
      <name val="Calibri"/>
      <family val="2"/>
    </font>
    <font>
      <sz val="8"/>
      <name val="Calibri"/>
      <family val="2"/>
    </font>
    <font>
      <sz val="10"/>
      <color indexed="57"/>
      <name val="Calibri"/>
      <family val="2"/>
    </font>
    <font>
      <sz val="9"/>
      <color indexed="57"/>
      <name val="Calibri"/>
      <family val="2"/>
    </font>
    <font>
      <b/>
      <sz val="9"/>
      <color indexed="57"/>
      <name val="Calibri"/>
      <family val="2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b/>
      <sz val="9"/>
      <color theme="1"/>
      <name val="Calibri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color rgb="FFFF0000"/>
      <name val="Arial"/>
      <family val="2"/>
    </font>
    <font>
      <sz val="10"/>
      <color rgb="FFFF0000"/>
      <name val="Calibri"/>
      <family val="2"/>
    </font>
    <font>
      <sz val="9"/>
      <color rgb="FFFF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</cellStyleXfs>
  <cellXfs count="137">
    <xf numFmtId="0" fontId="0" fillId="0" borderId="0" xfId="0"/>
    <xf numFmtId="0" fontId="2" fillId="0" borderId="1" xfId="0" applyFont="1" applyBorder="1" applyAlignment="1" applyProtection="1">
      <alignment horizontal="left" vertical="top"/>
      <protection locked="0"/>
    </xf>
    <xf numFmtId="0" fontId="3" fillId="0" borderId="1" xfId="0" applyFont="1" applyBorder="1" applyAlignment="1" applyProtection="1">
      <alignment horizontal="left" vertical="top"/>
      <protection locked="0"/>
    </xf>
    <xf numFmtId="0" fontId="2" fillId="0" borderId="1" xfId="0" applyFont="1" applyBorder="1" applyAlignment="1" applyProtection="1">
      <alignment horizontal="right" vertical="top"/>
      <protection locked="0"/>
    </xf>
    <xf numFmtId="0" fontId="2" fillId="0" borderId="1" xfId="0" applyFont="1" applyBorder="1" applyAlignment="1" applyProtection="1">
      <alignment vertical="top"/>
      <protection locked="0"/>
    </xf>
    <xf numFmtId="0" fontId="4" fillId="0" borderId="1" xfId="0" applyFont="1" applyBorder="1" applyAlignment="1" applyProtection="1">
      <alignment horizontal="left" vertical="top"/>
      <protection locked="0"/>
    </xf>
    <xf numFmtId="0" fontId="4" fillId="0" borderId="1" xfId="0" applyFont="1" applyBorder="1" applyAlignment="1" applyProtection="1">
      <alignment horizontal="left"/>
      <protection locked="0"/>
    </xf>
    <xf numFmtId="0" fontId="2" fillId="2" borderId="1" xfId="0" applyFont="1" applyFill="1" applyBorder="1" applyAlignment="1" applyProtection="1">
      <alignment horizontal="left" vertical="top"/>
      <protection locked="0"/>
    </xf>
    <xf numFmtId="41" fontId="2" fillId="2" borderId="1" xfId="1" applyNumberFormat="1" applyFont="1" applyFill="1" applyBorder="1" applyAlignment="1" applyProtection="1">
      <protection locked="0"/>
    </xf>
    <xf numFmtId="164" fontId="2" fillId="0" borderId="1" xfId="1" applyNumberFormat="1" applyFont="1" applyBorder="1" applyAlignment="1" applyProtection="1">
      <alignment horizontal="left" vertical="top"/>
      <protection locked="0"/>
    </xf>
    <xf numFmtId="0" fontId="2" fillId="0" borderId="1" xfId="1" applyNumberFormat="1" applyFont="1" applyBorder="1" applyAlignment="1" applyProtection="1">
      <alignment vertical="top"/>
      <protection locked="0"/>
    </xf>
    <xf numFmtId="0" fontId="9" fillId="2" borderId="1" xfId="0" applyFont="1" applyFill="1" applyBorder="1" applyAlignment="1">
      <alignment horizontal="left"/>
    </xf>
    <xf numFmtId="164" fontId="2" fillId="2" borderId="1" xfId="1" applyNumberFormat="1" applyFont="1" applyFill="1" applyBorder="1" applyAlignment="1" applyProtection="1">
      <alignment horizontal="right" vertical="top"/>
      <protection locked="0"/>
    </xf>
    <xf numFmtId="0" fontId="2" fillId="2" borderId="1" xfId="0" applyFont="1" applyFill="1" applyBorder="1" applyAlignment="1" applyProtection="1">
      <alignment horizontal="right" vertical="top"/>
      <protection locked="0"/>
    </xf>
    <xf numFmtId="0" fontId="2" fillId="2" borderId="1" xfId="0" applyFont="1" applyFill="1" applyBorder="1" applyAlignment="1">
      <alignment horizontal="left"/>
    </xf>
    <xf numFmtId="0" fontId="2" fillId="0" borderId="2" xfId="0" applyFont="1" applyBorder="1" applyAlignment="1" applyProtection="1">
      <alignment horizontal="left" vertical="top"/>
      <protection locked="0"/>
    </xf>
    <xf numFmtId="0" fontId="2" fillId="0" borderId="3" xfId="0" applyFont="1" applyBorder="1" applyAlignment="1" applyProtection="1">
      <alignment horizontal="left" vertical="top"/>
      <protection locked="0"/>
    </xf>
    <xf numFmtId="0" fontId="2" fillId="0" borderId="4" xfId="0" applyFont="1" applyBorder="1" applyAlignment="1" applyProtection="1">
      <alignment horizontal="left" vertical="top"/>
      <protection locked="0"/>
    </xf>
    <xf numFmtId="0" fontId="2" fillId="0" borderId="5" xfId="0" applyFont="1" applyBorder="1" applyAlignment="1" applyProtection="1">
      <alignment horizontal="right" vertical="top"/>
      <protection locked="0"/>
    </xf>
    <xf numFmtId="0" fontId="2" fillId="0" borderId="0" xfId="0" applyFont="1" applyAlignment="1" applyProtection="1">
      <alignment horizontal="left" vertical="top"/>
      <protection locked="0"/>
    </xf>
    <xf numFmtId="0" fontId="12" fillId="0" borderId="1" xfId="0" applyFont="1" applyBorder="1" applyAlignment="1" applyProtection="1">
      <alignment horizontal="right" vertical="top"/>
      <protection locked="0"/>
    </xf>
    <xf numFmtId="41" fontId="12" fillId="2" borderId="1" xfId="1" applyNumberFormat="1" applyFont="1" applyFill="1" applyBorder="1" applyAlignment="1" applyProtection="1">
      <protection locked="0"/>
    </xf>
    <xf numFmtId="164" fontId="12" fillId="2" borderId="1" xfId="1" applyNumberFormat="1" applyFont="1" applyFill="1" applyBorder="1" applyAlignment="1" applyProtection="1">
      <alignment horizontal="right" vertical="top"/>
      <protection locked="0"/>
    </xf>
    <xf numFmtId="0" fontId="12" fillId="2" borderId="1" xfId="0" applyFont="1" applyFill="1" applyBorder="1" applyAlignment="1" applyProtection="1">
      <alignment horizontal="right" vertical="top"/>
      <protection locked="0"/>
    </xf>
    <xf numFmtId="0" fontId="12" fillId="0" borderId="2" xfId="0" applyFont="1" applyBorder="1" applyAlignment="1" applyProtection="1">
      <alignment horizontal="right" vertical="top"/>
      <protection locked="0"/>
    </xf>
    <xf numFmtId="0" fontId="12" fillId="0" borderId="0" xfId="0" applyFont="1" applyAlignment="1" applyProtection="1">
      <alignment horizontal="right" vertical="top"/>
      <protection locked="0"/>
    </xf>
    <xf numFmtId="0" fontId="12" fillId="0" borderId="3" xfId="0" applyFont="1" applyBorder="1" applyAlignment="1" applyProtection="1">
      <alignment horizontal="right" vertical="top"/>
      <protection locked="0"/>
    </xf>
    <xf numFmtId="0" fontId="13" fillId="0" borderId="1" xfId="0" applyFont="1" applyBorder="1" applyAlignment="1" applyProtection="1">
      <alignment horizontal="right" vertical="top"/>
      <protection locked="0"/>
    </xf>
    <xf numFmtId="41" fontId="14" fillId="0" borderId="1" xfId="0" applyNumberFormat="1" applyFont="1" applyBorder="1" applyAlignment="1" applyProtection="1">
      <alignment horizontal="right" vertical="top"/>
      <protection locked="0"/>
    </xf>
    <xf numFmtId="0" fontId="7" fillId="0" borderId="1" xfId="0" applyFont="1" applyBorder="1" applyAlignment="1" applyProtection="1">
      <alignment horizontal="left" vertical="top"/>
      <protection locked="0"/>
    </xf>
    <xf numFmtId="9" fontId="0" fillId="0" borderId="0" xfId="0" applyNumberFormat="1"/>
    <xf numFmtId="10" fontId="0" fillId="0" borderId="0" xfId="0" applyNumberFormat="1"/>
    <xf numFmtId="3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41" fontId="16" fillId="3" borderId="1" xfId="1" applyNumberFormat="1" applyFont="1" applyFill="1" applyBorder="1" applyAlignment="1" applyProtection="1">
      <protection locked="0"/>
    </xf>
    <xf numFmtId="0" fontId="16" fillId="3" borderId="1" xfId="0" applyFont="1" applyFill="1" applyBorder="1" applyAlignment="1" applyProtection="1">
      <alignment horizontal="left" vertical="top"/>
      <protection locked="0"/>
    </xf>
    <xf numFmtId="9" fontId="16" fillId="3" borderId="1" xfId="1" applyNumberFormat="1" applyFont="1" applyFill="1" applyBorder="1" applyAlignment="1" applyProtection="1">
      <protection locked="0"/>
    </xf>
    <xf numFmtId="41" fontId="3" fillId="2" borderId="1" xfId="0" applyNumberFormat="1" applyFont="1" applyFill="1" applyBorder="1" applyAlignment="1" applyProtection="1">
      <alignment horizontal="left" vertical="top"/>
      <protection locked="0"/>
    </xf>
    <xf numFmtId="1" fontId="4" fillId="0" borderId="1" xfId="0" applyNumberFormat="1" applyFont="1" applyBorder="1" applyAlignment="1" applyProtection="1">
      <alignment horizontal="left" vertical="top"/>
      <protection locked="0"/>
    </xf>
    <xf numFmtId="0" fontId="19" fillId="0" borderId="0" xfId="0" applyFont="1"/>
    <xf numFmtId="165" fontId="19" fillId="0" borderId="0" xfId="0" applyNumberFormat="1" applyFont="1"/>
    <xf numFmtId="0" fontId="20" fillId="0" borderId="6" xfId="0" applyFont="1" applyBorder="1" applyAlignment="1">
      <alignment horizontal="center"/>
    </xf>
    <xf numFmtId="165" fontId="20" fillId="0" borderId="6" xfId="0" applyNumberFormat="1" applyFont="1" applyBorder="1" applyAlignment="1">
      <alignment horizontal="center"/>
    </xf>
    <xf numFmtId="165" fontId="20" fillId="0" borderId="6" xfId="0" quotePrefix="1" applyNumberFormat="1" applyFont="1" applyBorder="1" applyAlignment="1">
      <alignment horizontal="center"/>
    </xf>
    <xf numFmtId="0" fontId="19" fillId="0" borderId="6" xfId="0" applyFont="1" applyBorder="1"/>
    <xf numFmtId="165" fontId="19" fillId="0" borderId="6" xfId="0" applyNumberFormat="1" applyFont="1" applyBorder="1"/>
    <xf numFmtId="0" fontId="20" fillId="0" borderId="6" xfId="0" applyFont="1" applyBorder="1"/>
    <xf numFmtId="166" fontId="19" fillId="0" borderId="6" xfId="0" applyNumberFormat="1" applyFont="1" applyBorder="1"/>
    <xf numFmtId="9" fontId="19" fillId="0" borderId="6" xfId="3" applyFont="1" applyBorder="1" applyAlignment="1">
      <alignment horizontal="center"/>
    </xf>
    <xf numFmtId="166" fontId="19" fillId="0" borderId="0" xfId="0" applyNumberFormat="1" applyFont="1"/>
    <xf numFmtId="166" fontId="20" fillId="0" borderId="6" xfId="0" applyNumberFormat="1" applyFont="1" applyBorder="1"/>
    <xf numFmtId="0" fontId="20" fillId="0" borderId="0" xfId="0" applyFont="1"/>
    <xf numFmtId="166" fontId="20" fillId="0" borderId="0" xfId="0" applyNumberFormat="1" applyFont="1"/>
    <xf numFmtId="166" fontId="21" fillId="0" borderId="0" xfId="0" applyNumberFormat="1" applyFont="1"/>
    <xf numFmtId="165" fontId="21" fillId="0" borderId="0" xfId="0" applyNumberFormat="1" applyFont="1"/>
    <xf numFmtId="164" fontId="2" fillId="3" borderId="1" xfId="1" applyNumberFormat="1" applyFont="1" applyFill="1" applyBorder="1" applyAlignment="1" applyProtection="1">
      <alignment horizontal="left" vertical="top"/>
      <protection locked="0"/>
    </xf>
    <xf numFmtId="2" fontId="0" fillId="0" borderId="0" xfId="0" applyNumberFormat="1"/>
    <xf numFmtId="0" fontId="20" fillId="0" borderId="7" xfId="0" applyFont="1" applyBorder="1" applyAlignment="1">
      <alignment horizontal="center"/>
    </xf>
    <xf numFmtId="0" fontId="20" fillId="0" borderId="8" xfId="0" applyFont="1" applyBorder="1" applyAlignment="1">
      <alignment horizontal="center"/>
    </xf>
    <xf numFmtId="165" fontId="20" fillId="0" borderId="9" xfId="0" applyNumberFormat="1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165" fontId="20" fillId="0" borderId="11" xfId="0" quotePrefix="1" applyNumberFormat="1" applyFont="1" applyBorder="1" applyAlignment="1">
      <alignment horizontal="center"/>
    </xf>
    <xf numFmtId="0" fontId="19" fillId="0" borderId="10" xfId="0" applyFont="1" applyBorder="1"/>
    <xf numFmtId="165" fontId="19" fillId="0" borderId="11" xfId="0" applyNumberFormat="1" applyFont="1" applyBorder="1"/>
    <xf numFmtId="166" fontId="20" fillId="0" borderId="10" xfId="0" applyNumberFormat="1" applyFont="1" applyBorder="1"/>
    <xf numFmtId="9" fontId="19" fillId="0" borderId="11" xfId="3" applyFont="1" applyBorder="1" applyAlignment="1">
      <alignment horizontal="center"/>
    </xf>
    <xf numFmtId="166" fontId="20" fillId="0" borderId="12" xfId="0" applyNumberFormat="1" applyFont="1" applyBorder="1"/>
    <xf numFmtId="166" fontId="19" fillId="0" borderId="13" xfId="0" applyNumberFormat="1" applyFont="1" applyBorder="1"/>
    <xf numFmtId="165" fontId="19" fillId="0" borderId="14" xfId="0" applyNumberFormat="1" applyFont="1" applyBorder="1"/>
    <xf numFmtId="0" fontId="2" fillId="3" borderId="1" xfId="0" applyFont="1" applyFill="1" applyBorder="1" applyAlignment="1" applyProtection="1">
      <alignment horizontal="left" vertical="top"/>
      <protection locked="0"/>
    </xf>
    <xf numFmtId="0" fontId="5" fillId="3" borderId="1" xfId="0" applyFont="1" applyFill="1" applyBorder="1" applyAlignment="1" applyProtection="1">
      <alignment horizontal="left" vertical="top"/>
      <protection locked="0"/>
    </xf>
    <xf numFmtId="0" fontId="12" fillId="3" borderId="1" xfId="0" applyFont="1" applyFill="1" applyBorder="1" applyAlignment="1" applyProtection="1">
      <alignment horizontal="right" vertical="top"/>
      <protection locked="0"/>
    </xf>
    <xf numFmtId="0" fontId="2" fillId="3" borderId="1" xfId="0" applyFont="1" applyFill="1" applyBorder="1" applyAlignment="1" applyProtection="1">
      <alignment horizontal="right" vertical="top"/>
      <protection locked="0"/>
    </xf>
    <xf numFmtId="0" fontId="2" fillId="3" borderId="1" xfId="0" applyFont="1" applyFill="1" applyBorder="1" applyAlignment="1" applyProtection="1">
      <alignment vertical="top"/>
      <protection locked="0"/>
    </xf>
    <xf numFmtId="0" fontId="13" fillId="3" borderId="1" xfId="0" applyFont="1" applyFill="1" applyBorder="1" applyAlignment="1" applyProtection="1">
      <alignment horizontal="right" vertical="top"/>
      <protection locked="0"/>
    </xf>
    <xf numFmtId="0" fontId="4" fillId="3" borderId="1" xfId="0" applyFont="1" applyFill="1" applyBorder="1" applyAlignment="1" applyProtection="1">
      <alignment horizontal="left" vertical="top"/>
      <protection locked="0"/>
    </xf>
    <xf numFmtId="0" fontId="6" fillId="3" borderId="1" xfId="0" applyFont="1" applyFill="1" applyBorder="1" applyAlignment="1" applyProtection="1">
      <alignment horizontal="left" vertical="top"/>
      <protection locked="0"/>
    </xf>
    <xf numFmtId="0" fontId="2" fillId="3" borderId="1" xfId="0" applyFont="1" applyFill="1" applyBorder="1" applyAlignment="1" applyProtection="1">
      <alignment horizontal="left"/>
      <protection locked="0"/>
    </xf>
    <xf numFmtId="0" fontId="3" fillId="3" borderId="1" xfId="0" applyFont="1" applyFill="1" applyBorder="1" applyAlignment="1" applyProtection="1">
      <alignment horizontal="left"/>
      <protection locked="0"/>
    </xf>
    <xf numFmtId="0" fontId="3" fillId="3" borderId="1" xfId="0" applyFont="1" applyFill="1" applyBorder="1" applyAlignment="1" applyProtection="1">
      <alignment horizontal="left" wrapText="1"/>
      <protection locked="0"/>
    </xf>
    <xf numFmtId="0" fontId="16" fillId="3" borderId="1" xfId="0" applyFont="1" applyFill="1" applyBorder="1" applyAlignment="1" applyProtection="1">
      <alignment horizontal="center" wrapText="1"/>
      <protection locked="0"/>
    </xf>
    <xf numFmtId="0" fontId="3" fillId="3" borderId="1" xfId="0" applyFont="1" applyFill="1" applyBorder="1" applyAlignment="1" applyProtection="1">
      <alignment horizontal="center" wrapText="1"/>
      <protection locked="0"/>
    </xf>
    <xf numFmtId="0" fontId="10" fillId="3" borderId="1" xfId="0" applyFont="1" applyFill="1" applyBorder="1" applyAlignment="1" applyProtection="1">
      <alignment horizontal="center" wrapText="1"/>
      <protection locked="0"/>
    </xf>
    <xf numFmtId="0" fontId="3" fillId="3" borderId="1" xfId="0" applyFont="1" applyFill="1" applyBorder="1" applyProtection="1">
      <protection locked="0"/>
    </xf>
    <xf numFmtId="1" fontId="7" fillId="3" borderId="1" xfId="0" applyNumberFormat="1" applyFont="1" applyFill="1" applyBorder="1" applyAlignment="1" applyProtection="1">
      <alignment horizontal="left" vertical="top"/>
      <protection locked="0"/>
    </xf>
    <xf numFmtId="0" fontId="3" fillId="3" borderId="1" xfId="0" applyFont="1" applyFill="1" applyBorder="1" applyAlignment="1" applyProtection="1">
      <alignment horizontal="left" vertical="top"/>
      <protection locked="0"/>
    </xf>
    <xf numFmtId="41" fontId="17" fillId="3" borderId="1" xfId="0" applyNumberFormat="1" applyFont="1" applyFill="1" applyBorder="1" applyAlignment="1" applyProtection="1">
      <alignment horizontal="right"/>
      <protection locked="0"/>
    </xf>
    <xf numFmtId="13" fontId="2" fillId="3" borderId="1" xfId="0" applyNumberFormat="1" applyFont="1" applyFill="1" applyBorder="1" applyAlignment="1" applyProtection="1">
      <alignment horizontal="right"/>
      <protection locked="0"/>
    </xf>
    <xf numFmtId="41" fontId="2" fillId="3" borderId="1" xfId="0" applyNumberFormat="1" applyFont="1" applyFill="1" applyBorder="1" applyAlignment="1" applyProtection="1">
      <alignment horizontal="right"/>
      <protection locked="0"/>
    </xf>
    <xf numFmtId="0" fontId="3" fillId="3" borderId="1" xfId="0" applyFont="1" applyFill="1" applyBorder="1" applyAlignment="1" applyProtection="1">
      <alignment vertical="top"/>
      <protection locked="0"/>
    </xf>
    <xf numFmtId="0" fontId="8" fillId="3" borderId="1" xfId="0" applyFont="1" applyFill="1" applyBorder="1" applyAlignment="1" applyProtection="1">
      <alignment horizontal="left" vertical="top"/>
      <protection locked="0"/>
    </xf>
    <xf numFmtId="41" fontId="17" fillId="3" borderId="1" xfId="0" applyNumberFormat="1" applyFont="1" applyFill="1" applyBorder="1" applyProtection="1">
      <protection locked="0"/>
    </xf>
    <xf numFmtId="41" fontId="2" fillId="3" borderId="1" xfId="0" applyNumberFormat="1" applyFont="1" applyFill="1" applyBorder="1" applyProtection="1">
      <protection locked="0"/>
    </xf>
    <xf numFmtId="1" fontId="2" fillId="3" borderId="1" xfId="0" applyNumberFormat="1" applyFont="1" applyFill="1" applyBorder="1" applyAlignment="1" applyProtection="1">
      <alignment horizontal="left" vertical="top"/>
      <protection locked="0"/>
    </xf>
    <xf numFmtId="41" fontId="2" fillId="3" borderId="1" xfId="1" applyNumberFormat="1" applyFont="1" applyFill="1" applyBorder="1" applyAlignment="1" applyProtection="1">
      <protection locked="0"/>
    </xf>
    <xf numFmtId="9" fontId="2" fillId="3" borderId="1" xfId="1" applyNumberFormat="1" applyFont="1" applyFill="1" applyBorder="1" applyAlignment="1" applyProtection="1">
      <protection locked="0"/>
    </xf>
    <xf numFmtId="0" fontId="7" fillId="3" borderId="1" xfId="0" applyFont="1" applyFill="1" applyBorder="1" applyAlignment="1" applyProtection="1">
      <alignment horizontal="left"/>
      <protection locked="0"/>
    </xf>
    <xf numFmtId="41" fontId="13" fillId="3" borderId="1" xfId="0" applyNumberFormat="1" applyFont="1" applyFill="1" applyBorder="1" applyAlignment="1" applyProtection="1">
      <alignment horizontal="right" vertical="top"/>
      <protection locked="0"/>
    </xf>
    <xf numFmtId="0" fontId="2" fillId="3" borderId="1" xfId="1" applyNumberFormat="1" applyFont="1" applyFill="1" applyBorder="1" applyAlignment="1" applyProtection="1">
      <alignment vertical="top"/>
      <protection locked="0"/>
    </xf>
    <xf numFmtId="41" fontId="3" fillId="3" borderId="1" xfId="1" applyNumberFormat="1" applyFont="1" applyFill="1" applyBorder="1" applyAlignment="1" applyProtection="1">
      <protection locked="0"/>
    </xf>
    <xf numFmtId="164" fontId="3" fillId="3" borderId="1" xfId="1" applyNumberFormat="1" applyFont="1" applyFill="1" applyBorder="1" applyAlignment="1" applyProtection="1">
      <alignment horizontal="left" vertical="top"/>
      <protection locked="0"/>
    </xf>
    <xf numFmtId="0" fontId="3" fillId="3" borderId="1" xfId="1" applyNumberFormat="1" applyFont="1" applyFill="1" applyBorder="1" applyAlignment="1" applyProtection="1">
      <alignment vertical="top"/>
      <protection locked="0"/>
    </xf>
    <xf numFmtId="41" fontId="17" fillId="3" borderId="1" xfId="1" applyNumberFormat="1" applyFont="1" applyFill="1" applyBorder="1" applyAlignment="1" applyProtection="1">
      <alignment horizontal="right"/>
      <protection locked="0"/>
    </xf>
    <xf numFmtId="9" fontId="17" fillId="3" borderId="1" xfId="1" applyNumberFormat="1" applyFont="1" applyFill="1" applyBorder="1" applyAlignment="1" applyProtection="1">
      <protection locked="0"/>
    </xf>
    <xf numFmtId="1" fontId="8" fillId="3" borderId="1" xfId="0" applyNumberFormat="1" applyFont="1" applyFill="1" applyBorder="1" applyAlignment="1" applyProtection="1">
      <alignment horizontal="left" vertical="top"/>
      <protection locked="0"/>
    </xf>
    <xf numFmtId="0" fontId="2" fillId="3" borderId="1" xfId="1" applyNumberFormat="1" applyFont="1" applyFill="1" applyBorder="1" applyAlignment="1" applyProtection="1">
      <alignment horizontal="left" vertical="top"/>
      <protection locked="0"/>
    </xf>
    <xf numFmtId="41" fontId="2" fillId="3" borderId="1" xfId="1" applyNumberFormat="1" applyFont="1" applyFill="1" applyBorder="1" applyAlignment="1" applyProtection="1">
      <alignment wrapText="1"/>
      <protection locked="0"/>
    </xf>
    <xf numFmtId="41" fontId="16" fillId="3" borderId="1" xfId="1" applyNumberFormat="1" applyFont="1" applyFill="1" applyBorder="1" applyAlignment="1" applyProtection="1">
      <alignment horizontal="right"/>
      <protection locked="0"/>
    </xf>
    <xf numFmtId="2" fontId="2" fillId="3" borderId="1" xfId="1" quotePrefix="1" applyNumberFormat="1" applyFont="1" applyFill="1" applyBorder="1" applyAlignment="1" applyProtection="1">
      <alignment vertical="top"/>
      <protection locked="0"/>
    </xf>
    <xf numFmtId="1" fontId="4" fillId="3" borderId="1" xfId="0" applyNumberFormat="1" applyFont="1" applyFill="1" applyBorder="1" applyAlignment="1" applyProtection="1">
      <alignment horizontal="left" vertical="top"/>
      <protection locked="0"/>
    </xf>
    <xf numFmtId="0" fontId="9" fillId="3" borderId="1" xfId="0" applyFont="1" applyFill="1" applyBorder="1"/>
    <xf numFmtId="0" fontId="18" fillId="3" borderId="1" xfId="0" applyFont="1" applyFill="1" applyBorder="1" applyAlignment="1" applyProtection="1">
      <alignment horizontal="right" vertical="top"/>
      <protection locked="0"/>
    </xf>
    <xf numFmtId="0" fontId="18" fillId="3" borderId="1" xfId="0" applyFont="1" applyFill="1" applyBorder="1" applyAlignment="1" applyProtection="1">
      <alignment horizontal="left" vertical="top"/>
      <protection locked="0"/>
    </xf>
    <xf numFmtId="3" fontId="2" fillId="3" borderId="1" xfId="0" applyNumberFormat="1" applyFont="1" applyFill="1" applyBorder="1" applyAlignment="1" applyProtection="1">
      <alignment horizontal="left" vertical="top"/>
      <protection locked="0"/>
    </xf>
    <xf numFmtId="41" fontId="16" fillId="3" borderId="1" xfId="0" applyNumberFormat="1" applyFont="1" applyFill="1" applyBorder="1" applyAlignment="1" applyProtection="1">
      <alignment horizontal="right"/>
      <protection locked="0"/>
    </xf>
    <xf numFmtId="41" fontId="12" fillId="3" borderId="1" xfId="1" applyNumberFormat="1" applyFont="1" applyFill="1" applyBorder="1" applyAlignment="1" applyProtection="1">
      <protection locked="0"/>
    </xf>
    <xf numFmtId="10" fontId="20" fillId="0" borderId="11" xfId="3" applyNumberFormat="1" applyFont="1" applyBorder="1" applyAlignment="1">
      <alignment horizontal="center"/>
    </xf>
    <xf numFmtId="10" fontId="19" fillId="0" borderId="6" xfId="3" applyNumberFormat="1" applyFont="1" applyBorder="1" applyAlignment="1">
      <alignment horizontal="center"/>
    </xf>
    <xf numFmtId="1" fontId="2" fillId="0" borderId="1" xfId="0" applyNumberFormat="1" applyFont="1" applyBorder="1" applyAlignment="1" applyProtection="1">
      <alignment horizontal="left" vertical="top"/>
      <protection locked="0"/>
    </xf>
    <xf numFmtId="41" fontId="2" fillId="0" borderId="1" xfId="1" applyNumberFormat="1" applyFont="1" applyFill="1" applyBorder="1" applyAlignment="1" applyProtection="1">
      <protection locked="0"/>
    </xf>
    <xf numFmtId="9" fontId="2" fillId="0" borderId="1" xfId="1" applyNumberFormat="1" applyFont="1" applyFill="1" applyBorder="1" applyAlignment="1" applyProtection="1">
      <protection locked="0"/>
    </xf>
    <xf numFmtId="0" fontId="2" fillId="0" borderId="1" xfId="0" applyFont="1" applyBorder="1" applyAlignment="1" applyProtection="1">
      <alignment horizontal="left"/>
      <protection locked="0"/>
    </xf>
    <xf numFmtId="167" fontId="2" fillId="3" borderId="1" xfId="1" applyNumberFormat="1" applyFont="1" applyFill="1" applyBorder="1" applyAlignment="1" applyProtection="1">
      <protection locked="0"/>
    </xf>
    <xf numFmtId="1" fontId="22" fillId="3" borderId="1" xfId="0" applyNumberFormat="1" applyFont="1" applyFill="1" applyBorder="1" applyAlignment="1" applyProtection="1">
      <alignment horizontal="left" vertical="top"/>
      <protection locked="0"/>
    </xf>
    <xf numFmtId="0" fontId="22" fillId="3" borderId="1" xfId="0" applyFont="1" applyFill="1" applyBorder="1" applyAlignment="1" applyProtection="1">
      <alignment horizontal="left" vertical="top"/>
      <protection locked="0"/>
    </xf>
    <xf numFmtId="41" fontId="22" fillId="3" borderId="1" xfId="1" applyNumberFormat="1" applyFont="1" applyFill="1" applyBorder="1" applyAlignment="1" applyProtection="1">
      <protection locked="0"/>
    </xf>
    <xf numFmtId="9" fontId="22" fillId="3" borderId="1" xfId="1" applyNumberFormat="1" applyFont="1" applyFill="1" applyBorder="1" applyAlignment="1" applyProtection="1">
      <protection locked="0"/>
    </xf>
    <xf numFmtId="167" fontId="22" fillId="3" borderId="1" xfId="1" applyNumberFormat="1" applyFont="1" applyFill="1" applyBorder="1" applyAlignment="1" applyProtection="1">
      <protection locked="0"/>
    </xf>
    <xf numFmtId="0" fontId="22" fillId="3" borderId="1" xfId="1" applyNumberFormat="1" applyFont="1" applyFill="1" applyBorder="1" applyAlignment="1" applyProtection="1">
      <alignment horizontal="left" vertical="top"/>
      <protection locked="0"/>
    </xf>
    <xf numFmtId="0" fontId="22" fillId="3" borderId="1" xfId="1" applyNumberFormat="1" applyFont="1" applyFill="1" applyBorder="1" applyAlignment="1" applyProtection="1">
      <alignment vertical="top"/>
      <protection locked="0"/>
    </xf>
    <xf numFmtId="0" fontId="23" fillId="3" borderId="1" xfId="0" applyFont="1" applyFill="1" applyBorder="1" applyAlignment="1" applyProtection="1">
      <alignment horizontal="right" vertical="top"/>
      <protection locked="0"/>
    </xf>
    <xf numFmtId="1" fontId="23" fillId="3" borderId="1" xfId="0" applyNumberFormat="1" applyFont="1" applyFill="1" applyBorder="1" applyAlignment="1" applyProtection="1">
      <alignment horizontal="left" vertical="top"/>
      <protection locked="0"/>
    </xf>
    <xf numFmtId="1" fontId="23" fillId="0" borderId="1" xfId="0" applyNumberFormat="1" applyFont="1" applyBorder="1" applyAlignment="1" applyProtection="1">
      <alignment horizontal="left" vertical="top"/>
      <protection locked="0"/>
    </xf>
    <xf numFmtId="0" fontId="23" fillId="0" borderId="1" xfId="0" applyFont="1" applyBorder="1" applyAlignment="1" applyProtection="1">
      <alignment horizontal="left" vertical="top"/>
      <protection locked="0"/>
    </xf>
    <xf numFmtId="0" fontId="22" fillId="3" borderId="1" xfId="0" applyFont="1" applyFill="1" applyBorder="1" applyAlignment="1" applyProtection="1">
      <alignment vertical="top"/>
      <protection locked="0"/>
    </xf>
    <xf numFmtId="0" fontId="23" fillId="3" borderId="1" xfId="0" applyFont="1" applyFill="1" applyBorder="1" applyAlignment="1" applyProtection="1">
      <alignment horizontal="left" vertical="top"/>
      <protection locked="0"/>
    </xf>
  </cellXfs>
  <cellStyles count="4">
    <cellStyle name="Comma" xfId="1" builtinId="3"/>
    <cellStyle name="Comma 2" xfId="2" xr:uid="{8110B2D6-04A7-422C-A807-2C523793A38A}"/>
    <cellStyle name="Normal" xfId="0" builtinId="0"/>
    <cellStyle name="Percent" xfId="3" builtinId="5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CC66"/>
      <color rgb="FF33CC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1ED4E5-578A-4A76-8035-F27BDF5D3D54}">
  <sheetPr>
    <pageSetUpPr fitToPage="1"/>
  </sheetPr>
  <dimension ref="A1:K25"/>
  <sheetViews>
    <sheetView tabSelected="1" topLeftCell="B1" workbookViewId="0">
      <selection activeCell="B1" sqref="B1:K27"/>
    </sheetView>
  </sheetViews>
  <sheetFormatPr defaultRowHeight="15" x14ac:dyDescent="0.25"/>
  <cols>
    <col min="1" max="1" width="25.5703125" customWidth="1"/>
    <col min="2" max="2" width="14.28515625" customWidth="1"/>
    <col min="3" max="3" width="13.7109375" customWidth="1"/>
    <col min="4" max="4" width="14.5703125" customWidth="1"/>
    <col min="5" max="5" width="13.7109375" customWidth="1"/>
    <col min="7" max="7" width="21.85546875" bestFit="1" customWidth="1"/>
    <col min="8" max="8" width="14.28515625" bestFit="1" customWidth="1"/>
    <col min="9" max="9" width="13.7109375" bestFit="1" customWidth="1"/>
    <col min="10" max="10" width="12.28515625" bestFit="1" customWidth="1"/>
    <col min="11" max="11" width="10.140625" customWidth="1"/>
  </cols>
  <sheetData>
    <row r="1" spans="1:11" ht="15.75" x14ac:dyDescent="0.25">
      <c r="A1" t="s">
        <v>324</v>
      </c>
      <c r="B1" s="40" t="s">
        <v>308</v>
      </c>
      <c r="C1" s="40"/>
      <c r="D1" s="40"/>
      <c r="E1" s="41"/>
      <c r="F1" s="40"/>
      <c r="G1" s="40"/>
      <c r="H1" s="40"/>
      <c r="I1" s="40"/>
      <c r="J1" s="40"/>
      <c r="K1" s="41"/>
    </row>
    <row r="2" spans="1:11" ht="15.75" x14ac:dyDescent="0.25">
      <c r="A2" s="40"/>
      <c r="B2" s="40"/>
      <c r="C2" s="40"/>
      <c r="D2" s="40"/>
      <c r="E2" s="41"/>
      <c r="F2" s="40"/>
      <c r="G2" s="40"/>
      <c r="H2" s="40"/>
      <c r="I2" s="40"/>
      <c r="J2" s="40"/>
      <c r="K2" s="41"/>
    </row>
    <row r="3" spans="1:11" ht="15.75" x14ac:dyDescent="0.25">
      <c r="A3" s="42" t="s">
        <v>1</v>
      </c>
      <c r="B3" s="42" t="s">
        <v>246</v>
      </c>
      <c r="C3" s="42" t="s">
        <v>247</v>
      </c>
      <c r="D3" s="42" t="s">
        <v>248</v>
      </c>
      <c r="E3" s="43" t="s">
        <v>248</v>
      </c>
      <c r="F3" s="40"/>
      <c r="G3" s="58" t="s">
        <v>2</v>
      </c>
      <c r="H3" s="59" t="s">
        <v>246</v>
      </c>
      <c r="I3" s="59" t="s">
        <v>247</v>
      </c>
      <c r="J3" s="59" t="s">
        <v>248</v>
      </c>
      <c r="K3" s="60" t="s">
        <v>248</v>
      </c>
    </row>
    <row r="4" spans="1:11" ht="15.75" x14ac:dyDescent="0.25">
      <c r="A4" s="42"/>
      <c r="B4" s="42" t="s">
        <v>260</v>
      </c>
      <c r="C4" s="42" t="s">
        <v>296</v>
      </c>
      <c r="D4" s="42" t="s">
        <v>249</v>
      </c>
      <c r="E4" s="44" t="s">
        <v>250</v>
      </c>
      <c r="F4" s="40"/>
      <c r="G4" s="61"/>
      <c r="H4" s="42" t="s">
        <v>260</v>
      </c>
      <c r="I4" s="42" t="s">
        <v>296</v>
      </c>
      <c r="J4" s="42" t="s">
        <v>249</v>
      </c>
      <c r="K4" s="62" t="s">
        <v>250</v>
      </c>
    </row>
    <row r="5" spans="1:11" ht="15.75" x14ac:dyDescent="0.25">
      <c r="A5" s="45"/>
      <c r="B5" s="45"/>
      <c r="C5" s="45"/>
      <c r="D5" s="45"/>
      <c r="E5" s="46"/>
      <c r="F5" s="40"/>
      <c r="G5" s="63"/>
      <c r="H5" s="45"/>
      <c r="I5" s="45"/>
      <c r="J5" s="45"/>
      <c r="K5" s="64"/>
    </row>
    <row r="6" spans="1:11" ht="15.75" x14ac:dyDescent="0.25">
      <c r="A6" s="47" t="s">
        <v>251</v>
      </c>
      <c r="B6" s="48">
        <f>+'Detailed Budget'!D25</f>
        <v>16917</v>
      </c>
      <c r="C6" s="48">
        <f>+'Detailed Budget'!E25</f>
        <v>20574</v>
      </c>
      <c r="D6" s="48">
        <f>+'Detailed Budget'!H25</f>
        <v>17499.730923694777</v>
      </c>
      <c r="E6" s="49">
        <f t="shared" ref="E6:E14" si="0">+D6/B6</f>
        <v>1.0344464694505395</v>
      </c>
      <c r="F6" s="50"/>
      <c r="G6" s="65" t="s">
        <v>252</v>
      </c>
      <c r="H6" s="48">
        <f>+'Detailed Budget'!N25</f>
        <v>296992</v>
      </c>
      <c r="I6" s="48">
        <f>+'Detailed Budget'!O25</f>
        <v>292139.96000000002</v>
      </c>
      <c r="J6" s="48">
        <f>+'Detailed Budget'!R25</f>
        <v>293331.7951807229</v>
      </c>
      <c r="K6" s="66">
        <f>+J6/H6</f>
        <v>0.98767574608313657</v>
      </c>
    </row>
    <row r="7" spans="1:11" ht="15.75" x14ac:dyDescent="0.25">
      <c r="A7" s="47" t="s">
        <v>253</v>
      </c>
      <c r="B7" s="48">
        <f>+'Detailed Budget'!D28</f>
        <v>227000</v>
      </c>
      <c r="C7" s="48">
        <f>+'Detailed Budget'!E28</f>
        <v>184081</v>
      </c>
      <c r="D7" s="48">
        <f>+'Detailed Budget'!H28</f>
        <v>225866.25766871168</v>
      </c>
      <c r="E7" s="49">
        <f t="shared" si="0"/>
        <v>0.99500554039080036</v>
      </c>
      <c r="F7" s="50"/>
      <c r="G7" s="65" t="s">
        <v>253</v>
      </c>
      <c r="H7" s="48">
        <f>+'Detailed Budget'!N28</f>
        <v>5000</v>
      </c>
      <c r="I7" s="48">
        <f>+'Detailed Budget'!O28</f>
        <v>2500</v>
      </c>
      <c r="J7" s="48">
        <f>+'Detailed Budget'!R28</f>
        <v>5000</v>
      </c>
      <c r="K7" s="66"/>
    </row>
    <row r="8" spans="1:11" ht="15.75" x14ac:dyDescent="0.25">
      <c r="A8" s="47" t="s">
        <v>254</v>
      </c>
      <c r="B8" s="48">
        <f>+'Detailed Budget'!D40</f>
        <v>13433</v>
      </c>
      <c r="C8" s="48">
        <f>+'Detailed Budget'!E40</f>
        <v>7141</v>
      </c>
      <c r="D8" s="48">
        <f>+'Detailed Budget'!H40</f>
        <v>12562.903614457831</v>
      </c>
      <c r="E8" s="49">
        <f t="shared" si="0"/>
        <v>0.93522694963580966</v>
      </c>
      <c r="F8" s="50"/>
      <c r="G8" s="65" t="s">
        <v>164</v>
      </c>
      <c r="H8" s="48">
        <f>+'Detailed Budget'!N40</f>
        <v>5008</v>
      </c>
      <c r="I8" s="48">
        <f>+'Detailed Budget'!O40</f>
        <v>3778</v>
      </c>
      <c r="J8" s="48">
        <f>+'Detailed Budget'!R40</f>
        <v>4479.2168674698796</v>
      </c>
      <c r="K8" s="66">
        <f t="shared" ref="K8:K14" si="1">+J8/H8</f>
        <v>0.89441231379190889</v>
      </c>
    </row>
    <row r="9" spans="1:11" ht="15.75" x14ac:dyDescent="0.25">
      <c r="A9" s="47" t="s">
        <v>255</v>
      </c>
      <c r="B9" s="48">
        <f>+'Detailed Budget'!D62</f>
        <v>23272</v>
      </c>
      <c r="C9" s="48">
        <f>+'Detailed Budget'!E62</f>
        <v>23867</v>
      </c>
      <c r="D9" s="48">
        <f>+'Detailed Budget'!H62</f>
        <v>26036.544846050871</v>
      </c>
      <c r="E9" s="49">
        <f t="shared" si="0"/>
        <v>1.118792748627143</v>
      </c>
      <c r="F9" s="50"/>
      <c r="G9" s="65" t="s">
        <v>255</v>
      </c>
      <c r="H9" s="48">
        <f>+'Detailed Budget'!N49</f>
        <v>8375</v>
      </c>
      <c r="I9" s="48">
        <f>+'Detailed Budget'!O49</f>
        <v>8000</v>
      </c>
      <c r="J9" s="48">
        <f>+'Detailed Budget'!R49</f>
        <v>8605</v>
      </c>
      <c r="K9" s="66">
        <f t="shared" si="1"/>
        <v>1.0274626865671641</v>
      </c>
    </row>
    <row r="10" spans="1:11" ht="15.75" x14ac:dyDescent="0.25">
      <c r="A10" s="47" t="s">
        <v>126</v>
      </c>
      <c r="B10" s="48">
        <f>+'Detailed Budget'!D72</f>
        <v>12473</v>
      </c>
      <c r="C10" s="48">
        <f>+'Detailed Budget'!E72</f>
        <v>10591</v>
      </c>
      <c r="D10" s="48">
        <f>+'Detailed Budget'!H72</f>
        <v>12212.433734939761</v>
      </c>
      <c r="E10" s="49">
        <f t="shared" si="0"/>
        <v>0.97910957547821387</v>
      </c>
      <c r="F10" s="50"/>
      <c r="G10" s="65" t="s">
        <v>126</v>
      </c>
      <c r="H10" s="48">
        <v>0</v>
      </c>
      <c r="I10" s="48">
        <v>0</v>
      </c>
      <c r="J10" s="48">
        <v>0</v>
      </c>
      <c r="K10" s="66"/>
    </row>
    <row r="11" spans="1:11" ht="15.75" x14ac:dyDescent="0.25">
      <c r="A11" s="47" t="s">
        <v>127</v>
      </c>
      <c r="B11" s="48">
        <f>+'Detailed Budget'!D82</f>
        <v>8921</v>
      </c>
      <c r="C11" s="48">
        <f>+'Detailed Budget'!E82</f>
        <v>6167</v>
      </c>
      <c r="D11" s="48">
        <f>+'Detailed Budget'!H82</f>
        <v>7233.9222004296253</v>
      </c>
      <c r="E11" s="49">
        <f t="shared" si="0"/>
        <v>0.81088691855505268</v>
      </c>
      <c r="F11" s="50"/>
      <c r="G11" s="65" t="s">
        <v>127</v>
      </c>
      <c r="H11" s="48">
        <f>+'Detailed Budget'!N83</f>
        <v>19180</v>
      </c>
      <c r="I11" s="48">
        <f>+'Detailed Budget'!O83</f>
        <v>19945</v>
      </c>
      <c r="J11" s="48">
        <f>+'Detailed Budget'!R83</f>
        <v>18492.290249433107</v>
      </c>
      <c r="K11" s="66">
        <f t="shared" si="1"/>
        <v>0.96414443427701291</v>
      </c>
    </row>
    <row r="12" spans="1:11" ht="15.75" x14ac:dyDescent="0.25">
      <c r="A12" s="47" t="s">
        <v>203</v>
      </c>
      <c r="B12" s="48">
        <f>+'Detailed Budget'!D97</f>
        <v>29131</v>
      </c>
      <c r="C12" s="48">
        <f>+'Detailed Budget'!E97</f>
        <v>30347</v>
      </c>
      <c r="D12" s="48">
        <f>+'Detailed Budget'!H97</f>
        <v>33640.574297188752</v>
      </c>
      <c r="E12" s="49">
        <f t="shared" si="0"/>
        <v>1.1548032781980966</v>
      </c>
      <c r="F12" s="50"/>
      <c r="G12" s="65" t="s">
        <v>203</v>
      </c>
      <c r="H12" s="48">
        <f>+'Detailed Budget'!N98</f>
        <v>67653</v>
      </c>
      <c r="I12" s="48">
        <f>+'Detailed Budget'!O98</f>
        <v>70827</v>
      </c>
      <c r="J12" s="48">
        <f>+'Detailed Budget'!R98</f>
        <v>78515.777777777766</v>
      </c>
      <c r="K12" s="66">
        <f t="shared" si="1"/>
        <v>1.160566091345214</v>
      </c>
    </row>
    <row r="13" spans="1:11" ht="15.75" x14ac:dyDescent="0.25">
      <c r="A13" s="47" t="s">
        <v>128</v>
      </c>
      <c r="B13" s="48">
        <f>+'Detailed Budget'!D109</f>
        <v>39848</v>
      </c>
      <c r="C13" s="48">
        <f>+'Detailed Budget'!E109</f>
        <v>33453</v>
      </c>
      <c r="D13" s="48">
        <f>+'Detailed Budget'!H109</f>
        <v>47200.124497991965</v>
      </c>
      <c r="E13" s="49">
        <f t="shared" si="0"/>
        <v>1.1845042285181682</v>
      </c>
      <c r="F13" s="50"/>
      <c r="G13" s="65" t="s">
        <v>128</v>
      </c>
      <c r="H13" s="48">
        <f>+'Detailed Budget'!N110</f>
        <v>14598</v>
      </c>
      <c r="I13" s="48">
        <f>+'Detailed Budget'!O110</f>
        <v>14536</v>
      </c>
      <c r="J13" s="48">
        <f>+'Detailed Budget'!R110</f>
        <v>14431.343283582089</v>
      </c>
      <c r="K13" s="66">
        <f t="shared" si="1"/>
        <v>0.98858359251829631</v>
      </c>
    </row>
    <row r="14" spans="1:11" ht="15.75" x14ac:dyDescent="0.25">
      <c r="A14" s="47" t="s">
        <v>256</v>
      </c>
      <c r="B14" s="48">
        <f>+'Detailed Budget'!D120</f>
        <v>8832</v>
      </c>
      <c r="C14" s="48">
        <f>+'Detailed Budget'!E120</f>
        <v>7654</v>
      </c>
      <c r="D14" s="48">
        <f>+'Detailed Budget'!H120</f>
        <v>8054.4614980629285</v>
      </c>
      <c r="E14" s="49">
        <f t="shared" si="0"/>
        <v>0.91196348483502365</v>
      </c>
      <c r="F14" s="50"/>
      <c r="G14" s="65" t="s">
        <v>256</v>
      </c>
      <c r="H14" s="48">
        <f>+'Detailed Budget'!N121</f>
        <v>1388</v>
      </c>
      <c r="I14" s="48">
        <f>+'Detailed Budget'!O121</f>
        <v>1260</v>
      </c>
      <c r="J14" s="48">
        <f>+'Detailed Budget'!R121</f>
        <v>1260</v>
      </c>
      <c r="K14" s="66">
        <f t="shared" si="1"/>
        <v>0.90778097982708938</v>
      </c>
    </row>
    <row r="15" spans="1:11" ht="15.75" x14ac:dyDescent="0.25">
      <c r="A15" s="47" t="s">
        <v>257</v>
      </c>
      <c r="B15" s="48">
        <v>0</v>
      </c>
      <c r="C15" s="48">
        <v>0</v>
      </c>
      <c r="D15" s="48">
        <v>0</v>
      </c>
      <c r="E15" s="49"/>
      <c r="F15" s="50"/>
      <c r="G15" s="65" t="s">
        <v>257</v>
      </c>
      <c r="H15" s="48">
        <v>0</v>
      </c>
      <c r="I15" s="48">
        <v>0</v>
      </c>
      <c r="J15" s="48">
        <v>0</v>
      </c>
      <c r="K15" s="66"/>
    </row>
    <row r="16" spans="1:11" ht="15.75" x14ac:dyDescent="0.25">
      <c r="A16" s="47" t="s">
        <v>258</v>
      </c>
      <c r="B16" s="51">
        <f>SUM(B6:B15)</f>
        <v>379827</v>
      </c>
      <c r="C16" s="51">
        <f>SUM(C6:C15)</f>
        <v>323875</v>
      </c>
      <c r="D16" s="51">
        <f>SUM(D6:D15)</f>
        <v>390306.9532815282</v>
      </c>
      <c r="E16" s="118">
        <f>+D16/B16</f>
        <v>1.0275913857664889</v>
      </c>
      <c r="F16" s="50"/>
      <c r="G16" s="65" t="s">
        <v>258</v>
      </c>
      <c r="H16" s="51">
        <f t="shared" ref="H16" si="2">SUM(H6:H15)</f>
        <v>418194</v>
      </c>
      <c r="I16" s="51">
        <f>SUM(I6:I15)</f>
        <v>412985.96</v>
      </c>
      <c r="J16" s="51">
        <f>SUM(J6:J15)</f>
        <v>424115.42335898575</v>
      </c>
      <c r="K16" s="117">
        <f>+J16/H16</f>
        <v>1.0141595129508929</v>
      </c>
    </row>
    <row r="17" spans="1:11" ht="15.75" x14ac:dyDescent="0.25">
      <c r="A17" s="47"/>
      <c r="B17" s="48"/>
      <c r="C17" s="48"/>
      <c r="D17" s="48"/>
      <c r="E17" s="46"/>
      <c r="F17" s="50"/>
      <c r="G17" s="67"/>
      <c r="H17" s="68"/>
      <c r="I17" s="68"/>
      <c r="J17" s="68"/>
      <c r="K17" s="69"/>
    </row>
    <row r="18" spans="1:11" ht="15.75" x14ac:dyDescent="0.25">
      <c r="A18" s="40"/>
      <c r="B18" s="50"/>
      <c r="C18" s="50"/>
      <c r="D18" s="50"/>
      <c r="E18" s="41"/>
      <c r="F18" s="50"/>
      <c r="G18" s="50"/>
      <c r="H18" s="50"/>
      <c r="I18" s="50"/>
      <c r="J18" s="50"/>
      <c r="K18" s="41"/>
    </row>
    <row r="19" spans="1:11" ht="15.75" x14ac:dyDescent="0.25">
      <c r="A19" s="52"/>
      <c r="B19" s="53"/>
      <c r="C19" s="54"/>
      <c r="D19" s="54"/>
      <c r="E19" s="55"/>
      <c r="F19" s="50"/>
      <c r="G19" s="50"/>
      <c r="H19" s="50"/>
      <c r="I19" s="50"/>
      <c r="J19" s="50"/>
      <c r="K19" s="55"/>
    </row>
    <row r="21" spans="1:11" ht="15.75" x14ac:dyDescent="0.25">
      <c r="A21" s="50" t="s">
        <v>306</v>
      </c>
      <c r="E21" s="50">
        <f>+J16</f>
        <v>424115.42335898575</v>
      </c>
    </row>
    <row r="22" spans="1:11" ht="15.75" x14ac:dyDescent="0.25">
      <c r="A22" s="50"/>
      <c r="E22" s="40"/>
    </row>
    <row r="23" spans="1:11" ht="15.75" x14ac:dyDescent="0.25">
      <c r="A23" s="50" t="s">
        <v>307</v>
      </c>
      <c r="E23" s="50">
        <f>+D16</f>
        <v>390306.9532815282</v>
      </c>
    </row>
    <row r="24" spans="1:11" ht="15.75" x14ac:dyDescent="0.25">
      <c r="A24" s="50"/>
      <c r="E24" s="40"/>
    </row>
    <row r="25" spans="1:11" ht="15.75" x14ac:dyDescent="0.25">
      <c r="A25" s="50" t="s">
        <v>268</v>
      </c>
      <c r="E25" s="50">
        <f>+E21-E23</f>
        <v>33808.470077457547</v>
      </c>
    </row>
  </sheetData>
  <pageMargins left="0.7" right="0.7" top="0.75" bottom="0.75" header="0.3" footer="0.3"/>
  <pageSetup paperSize="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0E28F1-A492-4382-B102-6BDB687FF31E}">
  <dimension ref="A1"/>
  <sheetViews>
    <sheetView zoomScale="115" zoomScaleNormal="115"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165"/>
  <sheetViews>
    <sheetView zoomScale="65" zoomScaleNormal="65" workbookViewId="0">
      <pane ySplit="3" topLeftCell="A69" activePane="bottomLeft" state="frozen"/>
      <selection pane="bottomLeft" activeCell="P77" sqref="P77"/>
    </sheetView>
  </sheetViews>
  <sheetFormatPr defaultColWidth="18.42578125" defaultRowHeight="12.75" x14ac:dyDescent="0.25"/>
  <cols>
    <col min="1" max="1" width="5" style="1" bestFit="1" customWidth="1"/>
    <col min="2" max="2" width="26.42578125" style="1" customWidth="1"/>
    <col min="3" max="3" width="7.7109375" style="1" hidden="1" customWidth="1"/>
    <col min="4" max="4" width="12.42578125" style="20" customWidth="1"/>
    <col min="5" max="5" width="11" style="3" bestFit="1" customWidth="1"/>
    <col min="6" max="6" width="5.7109375" style="3" hidden="1" customWidth="1"/>
    <col min="7" max="7" width="8.7109375" style="3" customWidth="1"/>
    <col min="8" max="8" width="11" style="3" bestFit="1" customWidth="1"/>
    <col min="9" max="9" width="8.5703125" style="3" customWidth="1"/>
    <col min="10" max="10" width="8.5703125" style="3" hidden="1" customWidth="1"/>
    <col min="11" max="11" width="40.5703125" style="3" customWidth="1"/>
    <col min="12" max="12" width="5" style="1" customWidth="1"/>
    <col min="13" max="13" width="30.5703125" style="4" customWidth="1"/>
    <col min="14" max="14" width="10.28515625" style="27" bestFit="1" customWidth="1"/>
    <col min="15" max="15" width="10.7109375" style="5" bestFit="1" customWidth="1"/>
    <col min="16" max="16" width="6.7109375" style="5" customWidth="1"/>
    <col min="17" max="17" width="7.140625" style="5" hidden="1" customWidth="1"/>
    <col min="18" max="18" width="12.42578125" style="5" bestFit="1" customWidth="1"/>
    <col min="19" max="19" width="9.140625" style="5" customWidth="1"/>
    <col min="20" max="20" width="9.140625" style="5" hidden="1" customWidth="1"/>
    <col min="21" max="21" width="14" style="5" customWidth="1"/>
    <col min="22" max="226" width="9.140625" style="5" customWidth="1"/>
    <col min="227" max="227" width="8.7109375" style="5" customWidth="1"/>
    <col min="228" max="228" width="24.140625" style="5" customWidth="1"/>
    <col min="229" max="229" width="10.42578125" style="5" customWidth="1"/>
    <col min="230" max="230" width="29.5703125" style="5" customWidth="1"/>
    <col min="231" max="231" width="9.140625" style="5" customWidth="1"/>
    <col min="232" max="232" width="4.28515625" style="5" customWidth="1"/>
    <col min="233" max="233" width="6.140625" style="5" customWidth="1"/>
    <col min="234" max="234" width="5.5703125" style="5" customWidth="1"/>
    <col min="235" max="235" width="21.5703125" style="5" customWidth="1"/>
    <col min="236" max="236" width="27.85546875" style="5" customWidth="1"/>
    <col min="237" max="16384" width="18.42578125" style="5"/>
  </cols>
  <sheetData>
    <row r="1" spans="1:20" ht="27.6" customHeight="1" x14ac:dyDescent="0.25">
      <c r="A1" s="70"/>
      <c r="B1" s="71" t="s">
        <v>0</v>
      </c>
      <c r="C1" s="71"/>
      <c r="D1" s="72"/>
      <c r="E1" s="73"/>
      <c r="F1" s="73"/>
      <c r="G1" s="73"/>
      <c r="H1" s="73"/>
      <c r="I1" s="73"/>
      <c r="J1" s="73"/>
      <c r="K1" s="73"/>
      <c r="L1" s="70"/>
      <c r="M1" s="74"/>
      <c r="N1" s="75"/>
      <c r="O1" s="76"/>
      <c r="P1" s="76"/>
      <c r="Q1" s="76"/>
      <c r="R1" s="76"/>
      <c r="S1" s="76"/>
      <c r="T1" s="76"/>
    </row>
    <row r="2" spans="1:20" ht="15.75" x14ac:dyDescent="0.25">
      <c r="A2" s="70"/>
      <c r="B2" s="77"/>
      <c r="C2" s="77"/>
      <c r="D2" s="72"/>
      <c r="E2" s="73"/>
      <c r="F2" s="73"/>
      <c r="G2" s="73"/>
      <c r="H2" s="73"/>
      <c r="I2" s="73"/>
      <c r="J2" s="73"/>
      <c r="K2" s="73"/>
      <c r="L2" s="70"/>
      <c r="M2" s="74"/>
      <c r="N2" s="75"/>
      <c r="O2" s="76"/>
      <c r="P2" s="76"/>
      <c r="Q2" s="76"/>
      <c r="R2" s="76"/>
      <c r="S2" s="76"/>
      <c r="T2" s="76"/>
    </row>
    <row r="3" spans="1:20" s="6" customFormat="1" ht="42" customHeight="1" x14ac:dyDescent="0.2">
      <c r="A3" s="78"/>
      <c r="B3" s="79" t="s">
        <v>1</v>
      </c>
      <c r="C3" s="80" t="s">
        <v>243</v>
      </c>
      <c r="D3" s="81" t="s">
        <v>299</v>
      </c>
      <c r="E3" s="82" t="s">
        <v>297</v>
      </c>
      <c r="F3" s="82" t="s">
        <v>228</v>
      </c>
      <c r="G3" s="82" t="s">
        <v>227</v>
      </c>
      <c r="H3" s="83" t="s">
        <v>298</v>
      </c>
      <c r="I3" s="83" t="s">
        <v>300</v>
      </c>
      <c r="J3" s="83" t="s">
        <v>301</v>
      </c>
      <c r="K3" s="83" t="s">
        <v>244</v>
      </c>
      <c r="L3" s="79"/>
      <c r="M3" s="84" t="s">
        <v>2</v>
      </c>
      <c r="N3" s="81" t="s">
        <v>299</v>
      </c>
      <c r="O3" s="82" t="s">
        <v>297</v>
      </c>
      <c r="P3" s="82" t="s">
        <v>229</v>
      </c>
      <c r="Q3" s="82" t="s">
        <v>227</v>
      </c>
      <c r="R3" s="83" t="s">
        <v>298</v>
      </c>
      <c r="S3" s="83" t="s">
        <v>300</v>
      </c>
      <c r="T3" s="83" t="s">
        <v>301</v>
      </c>
    </row>
    <row r="4" spans="1:20" x14ac:dyDescent="0.2">
      <c r="A4" s="85" t="s">
        <v>3</v>
      </c>
      <c r="B4" s="86"/>
      <c r="C4" s="86"/>
      <c r="D4" s="87"/>
      <c r="E4" s="88"/>
      <c r="F4" s="89"/>
      <c r="G4" s="89"/>
      <c r="H4" s="89"/>
      <c r="I4" s="89"/>
      <c r="J4" s="89"/>
      <c r="K4" s="89"/>
      <c r="L4" s="86"/>
      <c r="M4" s="90"/>
      <c r="N4" s="75"/>
      <c r="O4" s="76"/>
      <c r="P4" s="76"/>
      <c r="Q4" s="76"/>
      <c r="R4" s="76"/>
      <c r="S4" s="76"/>
      <c r="T4" s="76"/>
    </row>
    <row r="5" spans="1:20" x14ac:dyDescent="0.2">
      <c r="A5" s="86">
        <v>101</v>
      </c>
      <c r="B5" s="91" t="s">
        <v>4</v>
      </c>
      <c r="C5" s="91"/>
      <c r="D5" s="92"/>
      <c r="E5" s="93"/>
      <c r="F5" s="93"/>
      <c r="G5" s="93"/>
      <c r="H5" s="93"/>
      <c r="I5" s="93"/>
      <c r="J5" s="93"/>
      <c r="K5" s="93"/>
      <c r="L5" s="70"/>
      <c r="M5" s="90" t="s">
        <v>5</v>
      </c>
      <c r="N5" s="75"/>
      <c r="O5" s="76"/>
      <c r="P5" s="76"/>
      <c r="Q5" s="76"/>
      <c r="R5" s="76"/>
      <c r="S5" s="76"/>
      <c r="T5" s="76"/>
    </row>
    <row r="6" spans="1:20" ht="12" customHeight="1" x14ac:dyDescent="0.2">
      <c r="A6" s="94">
        <v>1108</v>
      </c>
      <c r="B6" s="70" t="s">
        <v>129</v>
      </c>
      <c r="C6" s="70">
        <v>1535</v>
      </c>
      <c r="D6" s="95">
        <f>VLOOKUP(A6,Data!$A$7:$F$130,6,FALSE)</f>
        <v>1363</v>
      </c>
      <c r="E6" s="95">
        <f>VLOOKUP(A6,Data!$A$7:$E$130,5,FALSE)</f>
        <v>1030</v>
      </c>
      <c r="F6" s="96">
        <v>0.75</v>
      </c>
      <c r="G6" s="96">
        <v>0.75</v>
      </c>
      <c r="H6" s="95">
        <f>+E6/G6</f>
        <v>1373.3333333333333</v>
      </c>
      <c r="I6" s="95">
        <f t="shared" ref="I6:I37" si="0">+D6-H6</f>
        <v>-10.333333333333258</v>
      </c>
      <c r="J6" s="95"/>
      <c r="K6" s="95"/>
      <c r="L6" s="97" t="s">
        <v>3</v>
      </c>
      <c r="M6" s="74"/>
      <c r="N6" s="75"/>
      <c r="O6" s="95"/>
      <c r="P6" s="96"/>
      <c r="Q6" s="96"/>
      <c r="R6" s="76"/>
      <c r="S6" s="76"/>
      <c r="T6" s="76"/>
    </row>
    <row r="7" spans="1:20" x14ac:dyDescent="0.2">
      <c r="A7" s="94">
        <v>1112</v>
      </c>
      <c r="B7" s="70" t="s">
        <v>6</v>
      </c>
      <c r="C7" s="70"/>
      <c r="D7" s="123">
        <v>0</v>
      </c>
      <c r="E7" s="95">
        <f>VLOOKUP(A7,Data!$A$7:$E$130,5,FALSE)</f>
        <v>406</v>
      </c>
      <c r="F7" s="96">
        <v>1</v>
      </c>
      <c r="G7" s="96">
        <v>1</v>
      </c>
      <c r="H7" s="95">
        <f t="shared" ref="H7:H20" si="1">+E7/G7</f>
        <v>406</v>
      </c>
      <c r="I7" s="123">
        <f t="shared" si="0"/>
        <v>-406</v>
      </c>
      <c r="J7" s="95"/>
      <c r="K7" s="95" t="s">
        <v>322</v>
      </c>
      <c r="L7" s="97"/>
      <c r="M7" s="74"/>
      <c r="N7" s="75"/>
      <c r="O7" s="95"/>
      <c r="P7" s="96"/>
      <c r="Q7" s="96"/>
      <c r="R7" s="76"/>
      <c r="S7" s="76"/>
      <c r="T7" s="76"/>
    </row>
    <row r="8" spans="1:20" x14ac:dyDescent="0.2">
      <c r="A8" s="94">
        <v>1121</v>
      </c>
      <c r="B8" s="70" t="s">
        <v>7</v>
      </c>
      <c r="C8" s="70">
        <v>1475</v>
      </c>
      <c r="D8" s="95">
        <f>VLOOKUP(A8,Data!$A$7:$F$130,6,FALSE)</f>
        <v>1585</v>
      </c>
      <c r="E8" s="95">
        <f>VLOOKUP(A8,Data!$A$7:$E$130,5,FALSE)</f>
        <v>912</v>
      </c>
      <c r="F8" s="96">
        <v>0.83</v>
      </c>
      <c r="G8" s="96">
        <v>0.83</v>
      </c>
      <c r="H8" s="95">
        <f t="shared" si="1"/>
        <v>1098.7951807228917</v>
      </c>
      <c r="I8" s="123">
        <f t="shared" si="0"/>
        <v>486.2048192771083</v>
      </c>
      <c r="J8" s="95"/>
      <c r="K8" s="95"/>
      <c r="L8" s="78">
        <v>1176</v>
      </c>
      <c r="M8" s="74" t="s">
        <v>8</v>
      </c>
      <c r="N8" s="98">
        <v>286321</v>
      </c>
      <c r="O8" s="95">
        <f>VLOOKUP($L8,Data!$A$7:$E$93,5,FALSE)</f>
        <v>286321</v>
      </c>
      <c r="P8" s="96">
        <v>1</v>
      </c>
      <c r="Q8" s="96">
        <f>+O8/N8</f>
        <v>1</v>
      </c>
      <c r="R8" s="76">
        <f>+O8/P8</f>
        <v>286321</v>
      </c>
      <c r="S8" s="95">
        <f>+R8-N8</f>
        <v>0</v>
      </c>
      <c r="T8" s="76"/>
    </row>
    <row r="9" spans="1:20" x14ac:dyDescent="0.2">
      <c r="A9" s="94">
        <v>1122</v>
      </c>
      <c r="B9" s="70" t="s">
        <v>9</v>
      </c>
      <c r="C9" s="70"/>
      <c r="D9" s="95">
        <v>0</v>
      </c>
      <c r="E9" s="95">
        <v>0</v>
      </c>
      <c r="F9" s="96"/>
      <c r="G9" s="96"/>
      <c r="H9" s="95"/>
      <c r="I9" s="95"/>
      <c r="J9" s="95"/>
      <c r="K9" s="95"/>
      <c r="L9" s="78">
        <v>1195</v>
      </c>
      <c r="M9" s="74" t="s">
        <v>10</v>
      </c>
      <c r="N9" s="75">
        <v>0</v>
      </c>
      <c r="O9" s="95"/>
      <c r="P9" s="96"/>
      <c r="Q9" s="96"/>
      <c r="R9" s="76"/>
      <c r="S9" s="95">
        <f>+N9-R9</f>
        <v>0</v>
      </c>
      <c r="T9" s="76"/>
    </row>
    <row r="10" spans="1:20" x14ac:dyDescent="0.2">
      <c r="A10" s="94">
        <v>1123</v>
      </c>
      <c r="B10" s="70" t="s">
        <v>130</v>
      </c>
      <c r="C10" s="70">
        <v>1082</v>
      </c>
      <c r="D10" s="95">
        <f>VLOOKUP(A10,Data!$A$7:$F$130,6,FALSE)</f>
        <v>911</v>
      </c>
      <c r="E10" s="95">
        <f>VLOOKUP(A10,Data!$A$7:$E$130,5,FALSE)</f>
        <v>224</v>
      </c>
      <c r="F10" s="96">
        <v>0.83</v>
      </c>
      <c r="G10" s="96">
        <v>0.83</v>
      </c>
      <c r="H10" s="95">
        <f t="shared" si="1"/>
        <v>269.87951807228916</v>
      </c>
      <c r="I10" s="95">
        <f t="shared" si="0"/>
        <v>641.1204819277109</v>
      </c>
      <c r="J10" s="95"/>
      <c r="K10" s="95"/>
      <c r="L10" s="78">
        <v>1196</v>
      </c>
      <c r="M10" s="74" t="s">
        <v>11</v>
      </c>
      <c r="N10" s="75">
        <v>10671</v>
      </c>
      <c r="O10" s="95">
        <v>5818.96</v>
      </c>
      <c r="P10" s="96">
        <v>0.83</v>
      </c>
      <c r="Q10" s="96">
        <f>+O10/N10</f>
        <v>0.54530596944991094</v>
      </c>
      <c r="R10" s="110">
        <f>+O10/P10</f>
        <v>7010.7951807228919</v>
      </c>
      <c r="S10" s="95">
        <f t="shared" ref="S10:S41" si="2">+R10-N10</f>
        <v>-3660.2048192771081</v>
      </c>
      <c r="T10" s="110"/>
    </row>
    <row r="11" spans="1:20" x14ac:dyDescent="0.2">
      <c r="A11" s="94">
        <v>1124</v>
      </c>
      <c r="B11" s="70" t="s">
        <v>131</v>
      </c>
      <c r="C11" s="70">
        <v>1445</v>
      </c>
      <c r="D11" s="95">
        <f>VLOOKUP(A11,Data!$A$7:$F$130,6,FALSE)</f>
        <v>1944</v>
      </c>
      <c r="E11" s="95">
        <f>VLOOKUP(A11,Data!$A$7:$E$130,5,FALSE)</f>
        <v>2398</v>
      </c>
      <c r="F11" s="96">
        <f t="shared" ref="F11:G71" si="3">+D11/C11</f>
        <v>1.3453287197231834</v>
      </c>
      <c r="G11" s="96">
        <f t="shared" si="3"/>
        <v>1.2335390946502058</v>
      </c>
      <c r="H11" s="95">
        <f t="shared" si="1"/>
        <v>1943.9999999999998</v>
      </c>
      <c r="I11" s="95">
        <f t="shared" si="0"/>
        <v>0</v>
      </c>
      <c r="J11" s="95"/>
      <c r="K11" s="95"/>
      <c r="L11" s="78"/>
      <c r="M11" s="74"/>
      <c r="N11" s="75"/>
      <c r="O11" s="95"/>
      <c r="P11" s="96"/>
      <c r="Q11" s="96"/>
      <c r="R11" s="76"/>
      <c r="S11" s="95">
        <f t="shared" si="2"/>
        <v>0</v>
      </c>
      <c r="T11" s="76"/>
    </row>
    <row r="12" spans="1:20" x14ac:dyDescent="0.2">
      <c r="A12" s="94">
        <v>1125</v>
      </c>
      <c r="B12" s="70" t="s">
        <v>132</v>
      </c>
      <c r="C12" s="70">
        <v>4208</v>
      </c>
      <c r="D12" s="95">
        <f>VLOOKUP(A12,Data!$A$7:$F$130,6,FALSE)</f>
        <v>4332</v>
      </c>
      <c r="E12" s="95">
        <f>VLOOKUP(A12,Data!$A$7:$E$130,5,FALSE)</f>
        <v>7286</v>
      </c>
      <c r="F12" s="96">
        <f>+D12/C12</f>
        <v>1.0294676806083649</v>
      </c>
      <c r="G12" s="96">
        <f>+E12/D12</f>
        <v>1.6819021237303786</v>
      </c>
      <c r="H12" s="95">
        <f t="shared" si="1"/>
        <v>4332</v>
      </c>
      <c r="I12" s="95">
        <f t="shared" si="0"/>
        <v>0</v>
      </c>
      <c r="J12" s="95"/>
      <c r="K12" s="95" t="s">
        <v>285</v>
      </c>
      <c r="L12" s="70"/>
      <c r="M12" s="74"/>
      <c r="N12" s="75"/>
      <c r="O12" s="95"/>
      <c r="P12" s="96"/>
      <c r="Q12" s="96"/>
      <c r="R12" s="76"/>
      <c r="S12" s="95">
        <f t="shared" si="2"/>
        <v>0</v>
      </c>
      <c r="T12" s="76"/>
    </row>
    <row r="13" spans="1:20" x14ac:dyDescent="0.2">
      <c r="A13" s="94">
        <v>1135</v>
      </c>
      <c r="B13" s="70" t="s">
        <v>133</v>
      </c>
      <c r="C13" s="70">
        <v>3143</v>
      </c>
      <c r="D13" s="95"/>
      <c r="E13" s="95"/>
      <c r="F13" s="96"/>
      <c r="G13" s="96"/>
      <c r="H13" s="95"/>
      <c r="I13" s="95"/>
      <c r="J13" s="95"/>
      <c r="K13" s="95"/>
      <c r="L13" s="56"/>
      <c r="M13" s="99"/>
      <c r="N13" s="75"/>
      <c r="O13" s="95"/>
      <c r="P13" s="96"/>
      <c r="Q13" s="96"/>
      <c r="R13" s="76"/>
      <c r="S13" s="95">
        <f t="shared" si="2"/>
        <v>0</v>
      </c>
      <c r="T13" s="76"/>
    </row>
    <row r="14" spans="1:20" x14ac:dyDescent="0.2">
      <c r="A14" s="94">
        <v>1136</v>
      </c>
      <c r="B14" s="70" t="s">
        <v>12</v>
      </c>
      <c r="C14" s="70"/>
      <c r="D14" s="95"/>
      <c r="E14" s="95"/>
      <c r="F14" s="96"/>
      <c r="G14" s="96"/>
      <c r="H14" s="95"/>
      <c r="I14" s="95"/>
      <c r="J14" s="95"/>
      <c r="K14" s="95"/>
      <c r="L14" s="56"/>
      <c r="M14" s="99"/>
      <c r="N14" s="75"/>
      <c r="O14" s="95"/>
      <c r="P14" s="96"/>
      <c r="Q14" s="96"/>
      <c r="R14" s="76"/>
      <c r="S14" s="95">
        <f t="shared" si="2"/>
        <v>0</v>
      </c>
      <c r="T14" s="76"/>
    </row>
    <row r="15" spans="1:20" x14ac:dyDescent="0.2">
      <c r="A15" s="94">
        <v>1141</v>
      </c>
      <c r="B15" s="70" t="s">
        <v>13</v>
      </c>
      <c r="C15" s="70">
        <v>1111</v>
      </c>
      <c r="D15" s="95">
        <f>VLOOKUP(A15,Data!$A$7:$F$130,6,FALSE)</f>
        <v>208</v>
      </c>
      <c r="E15" s="95">
        <f>VLOOKUP(A15,Data!$A$7:$E$130,5,FALSE)</f>
        <v>15</v>
      </c>
      <c r="F15" s="96">
        <v>0.83</v>
      </c>
      <c r="G15" s="96">
        <v>0.83</v>
      </c>
      <c r="H15" s="95">
        <f t="shared" si="1"/>
        <v>18.072289156626507</v>
      </c>
      <c r="I15" s="95">
        <f t="shared" si="0"/>
        <v>189.92771084337349</v>
      </c>
      <c r="J15" s="95"/>
      <c r="K15" s="95"/>
      <c r="L15" s="56"/>
      <c r="M15" s="99"/>
      <c r="N15" s="75"/>
      <c r="O15" s="95"/>
      <c r="P15" s="96"/>
      <c r="Q15" s="96"/>
      <c r="R15" s="76"/>
      <c r="S15" s="95">
        <f t="shared" si="2"/>
        <v>0</v>
      </c>
      <c r="T15" s="76"/>
    </row>
    <row r="16" spans="1:20" x14ac:dyDescent="0.2">
      <c r="A16" s="94">
        <v>1151</v>
      </c>
      <c r="B16" s="70" t="s">
        <v>14</v>
      </c>
      <c r="C16" s="70">
        <v>563</v>
      </c>
      <c r="D16" s="95">
        <f>VLOOKUP(A16,Data!$A$7:$F$130,6,FALSE)</f>
        <v>549</v>
      </c>
      <c r="E16" s="95">
        <f>VLOOKUP(A16,Data!$A$7:$E$130,5,FALSE)</f>
        <v>550</v>
      </c>
      <c r="F16" s="96">
        <v>0.83</v>
      </c>
      <c r="G16" s="96">
        <v>0.83</v>
      </c>
      <c r="H16" s="95">
        <f t="shared" si="1"/>
        <v>662.65060240963862</v>
      </c>
      <c r="I16" s="95">
        <f t="shared" si="0"/>
        <v>-113.65060240963862</v>
      </c>
      <c r="J16" s="95"/>
      <c r="K16" s="95"/>
      <c r="L16" s="56"/>
      <c r="M16" s="99"/>
      <c r="N16" s="75"/>
      <c r="O16" s="95"/>
      <c r="P16" s="96"/>
      <c r="Q16" s="96"/>
      <c r="R16" s="76"/>
      <c r="S16" s="95">
        <f t="shared" si="2"/>
        <v>0</v>
      </c>
      <c r="T16" s="76"/>
    </row>
    <row r="17" spans="1:21" x14ac:dyDescent="0.2">
      <c r="A17" s="124">
        <v>1156</v>
      </c>
      <c r="B17" s="125" t="s">
        <v>15</v>
      </c>
      <c r="C17" s="125">
        <v>3809</v>
      </c>
      <c r="D17" s="128">
        <v>0</v>
      </c>
      <c r="E17" s="126">
        <f>VLOOKUP(A17,Data!$A$7:$E$130,5,FALSE)</f>
        <v>1370</v>
      </c>
      <c r="F17" s="127"/>
      <c r="G17" s="127">
        <v>1</v>
      </c>
      <c r="H17" s="95">
        <f t="shared" si="1"/>
        <v>1370</v>
      </c>
      <c r="I17" s="95">
        <f t="shared" si="0"/>
        <v>-1370</v>
      </c>
      <c r="J17" s="95"/>
      <c r="K17" s="95" t="s">
        <v>287</v>
      </c>
      <c r="L17" s="56"/>
      <c r="M17" s="99"/>
      <c r="N17" s="75"/>
      <c r="O17" s="95"/>
      <c r="P17" s="96"/>
      <c r="Q17" s="96"/>
      <c r="R17" s="76"/>
      <c r="S17" s="95">
        <f t="shared" si="2"/>
        <v>0</v>
      </c>
      <c r="T17" s="76"/>
    </row>
    <row r="18" spans="1:21" x14ac:dyDescent="0.2">
      <c r="A18" s="124">
        <v>1157</v>
      </c>
      <c r="B18" s="125" t="s">
        <v>16</v>
      </c>
      <c r="C18" s="125">
        <v>1939</v>
      </c>
      <c r="D18" s="126">
        <f>VLOOKUP(A18,Data!$A$7:$F$130,6,FALSE)</f>
        <v>2499</v>
      </c>
      <c r="E18" s="126">
        <f>VLOOKUP(A18,Data!$A$7:$E$130,5,FALSE)</f>
        <v>2428</v>
      </c>
      <c r="F18" s="127">
        <f t="shared" si="3"/>
        <v>1.2888086642599279</v>
      </c>
      <c r="G18" s="127">
        <f t="shared" si="3"/>
        <v>0.97158863545418173</v>
      </c>
      <c r="H18" s="95">
        <f t="shared" si="1"/>
        <v>2499</v>
      </c>
      <c r="I18" s="95">
        <f t="shared" si="0"/>
        <v>0</v>
      </c>
      <c r="J18" s="95"/>
      <c r="K18" s="95"/>
      <c r="L18" s="56"/>
      <c r="M18" s="99"/>
      <c r="N18" s="75"/>
      <c r="O18" s="95"/>
      <c r="P18" s="96"/>
      <c r="Q18" s="96"/>
      <c r="R18" s="76"/>
      <c r="S18" s="95">
        <f t="shared" si="2"/>
        <v>0</v>
      </c>
      <c r="T18" s="76"/>
    </row>
    <row r="19" spans="1:21" x14ac:dyDescent="0.2">
      <c r="A19" s="94">
        <v>1158</v>
      </c>
      <c r="B19" s="70" t="s">
        <v>17</v>
      </c>
      <c r="C19" s="70">
        <v>0</v>
      </c>
      <c r="D19" s="95">
        <f>VLOOKUP(A19,Data!$A$7:$F$130,6,FALSE)</f>
        <v>1500</v>
      </c>
      <c r="E19" s="95">
        <v>1500</v>
      </c>
      <c r="F19" s="96" t="e">
        <f t="shared" si="3"/>
        <v>#DIV/0!</v>
      </c>
      <c r="G19" s="96">
        <f t="shared" si="3"/>
        <v>1</v>
      </c>
      <c r="H19" s="95">
        <f t="shared" si="1"/>
        <v>1500</v>
      </c>
      <c r="I19" s="95">
        <f t="shared" si="0"/>
        <v>0</v>
      </c>
      <c r="J19" s="95"/>
      <c r="K19" s="95"/>
      <c r="L19" s="56"/>
      <c r="M19" s="99"/>
      <c r="N19" s="75"/>
      <c r="O19" s="95"/>
      <c r="P19" s="96"/>
      <c r="Q19" s="96"/>
      <c r="R19" s="76"/>
      <c r="S19" s="95">
        <f t="shared" si="2"/>
        <v>0</v>
      </c>
      <c r="T19" s="76"/>
    </row>
    <row r="20" spans="1:21" x14ac:dyDescent="0.2">
      <c r="A20" s="94">
        <v>1161</v>
      </c>
      <c r="B20" s="70" t="s">
        <v>18</v>
      </c>
      <c r="C20" s="70">
        <v>2835</v>
      </c>
      <c r="D20" s="95">
        <f>VLOOKUP(A20,Data!$A$7:$F$130,6,FALSE)</f>
        <v>2026</v>
      </c>
      <c r="E20" s="95">
        <f>VLOOKUP(A20,Data!$A$7:$E$130,5,FALSE)</f>
        <v>2455</v>
      </c>
      <c r="F20" s="96">
        <f t="shared" si="3"/>
        <v>0.71463844797178133</v>
      </c>
      <c r="G20" s="96">
        <f t="shared" si="3"/>
        <v>1.2117472852912141</v>
      </c>
      <c r="H20" s="95">
        <f t="shared" si="1"/>
        <v>2026.0000000000002</v>
      </c>
      <c r="I20" s="95">
        <f t="shared" si="0"/>
        <v>0</v>
      </c>
      <c r="J20" s="95"/>
      <c r="K20" s="100" t="s">
        <v>286</v>
      </c>
      <c r="L20" s="56"/>
      <c r="M20" s="99"/>
      <c r="N20" s="75"/>
      <c r="O20" s="95"/>
      <c r="P20" s="96"/>
      <c r="Q20" s="96"/>
      <c r="R20" s="76"/>
      <c r="S20" s="95">
        <f t="shared" si="2"/>
        <v>0</v>
      </c>
      <c r="T20" s="76"/>
    </row>
    <row r="21" spans="1:21" x14ac:dyDescent="0.2">
      <c r="A21" s="70">
        <v>1162</v>
      </c>
      <c r="B21" s="70" t="s">
        <v>19</v>
      </c>
      <c r="C21" s="70"/>
      <c r="D21" s="95"/>
      <c r="E21" s="95"/>
      <c r="F21" s="96"/>
      <c r="G21" s="96"/>
      <c r="H21" s="95"/>
      <c r="I21" s="95">
        <f t="shared" si="0"/>
        <v>0</v>
      </c>
      <c r="J21" s="95"/>
      <c r="K21" s="95"/>
      <c r="L21" s="56"/>
      <c r="M21" s="99"/>
      <c r="N21" s="75"/>
      <c r="O21" s="95"/>
      <c r="P21" s="96"/>
      <c r="Q21" s="96"/>
      <c r="R21" s="76"/>
      <c r="S21" s="95">
        <f t="shared" si="2"/>
        <v>0</v>
      </c>
      <c r="T21" s="76"/>
    </row>
    <row r="22" spans="1:21" x14ac:dyDescent="0.2">
      <c r="A22" s="70">
        <v>1163</v>
      </c>
      <c r="B22" s="70" t="s">
        <v>20</v>
      </c>
      <c r="C22" s="70"/>
      <c r="D22" s="95"/>
      <c r="E22" s="95"/>
      <c r="F22" s="96"/>
      <c r="G22" s="96"/>
      <c r="H22" s="95"/>
      <c r="I22" s="95">
        <f t="shared" si="0"/>
        <v>0</v>
      </c>
      <c r="J22" s="95"/>
      <c r="K22" s="95"/>
      <c r="L22" s="56"/>
      <c r="M22" s="99"/>
      <c r="N22" s="75"/>
      <c r="O22" s="95"/>
      <c r="P22" s="96"/>
      <c r="Q22" s="96"/>
      <c r="R22" s="76"/>
      <c r="S22" s="95">
        <f t="shared" si="2"/>
        <v>0</v>
      </c>
      <c r="T22" s="76"/>
    </row>
    <row r="23" spans="1:21" x14ac:dyDescent="0.2">
      <c r="A23" s="70">
        <v>1164</v>
      </c>
      <c r="B23" s="70" t="s">
        <v>134</v>
      </c>
      <c r="C23" s="70">
        <v>4468</v>
      </c>
      <c r="D23" s="95"/>
      <c r="E23" s="95"/>
      <c r="F23" s="96"/>
      <c r="G23" s="96"/>
      <c r="H23" s="95"/>
      <c r="I23" s="95">
        <f t="shared" si="0"/>
        <v>0</v>
      </c>
      <c r="J23" s="95"/>
      <c r="K23" s="95" t="s">
        <v>264</v>
      </c>
      <c r="L23" s="56"/>
      <c r="M23" s="99"/>
      <c r="N23" s="75"/>
      <c r="O23" s="95"/>
      <c r="P23" s="96"/>
      <c r="Q23" s="96"/>
      <c r="R23" s="76"/>
      <c r="S23" s="95">
        <f t="shared" si="2"/>
        <v>0</v>
      </c>
      <c r="T23" s="76"/>
    </row>
    <row r="24" spans="1:21" x14ac:dyDescent="0.2">
      <c r="A24" s="70">
        <v>1165</v>
      </c>
      <c r="B24" s="70" t="s">
        <v>21</v>
      </c>
      <c r="C24" s="70">
        <v>1128</v>
      </c>
      <c r="D24" s="95"/>
      <c r="E24" s="95"/>
      <c r="F24" s="96"/>
      <c r="G24" s="96"/>
      <c r="H24" s="95"/>
      <c r="I24" s="95">
        <f t="shared" si="0"/>
        <v>0</v>
      </c>
      <c r="J24" s="95"/>
      <c r="K24" s="95"/>
      <c r="L24" s="56"/>
      <c r="M24" s="99"/>
      <c r="N24" s="75"/>
      <c r="O24" s="75"/>
      <c r="P24" s="96"/>
      <c r="Q24" s="96"/>
      <c r="R24" s="76"/>
      <c r="S24" s="95">
        <f t="shared" si="2"/>
        <v>0</v>
      </c>
      <c r="T24" s="76"/>
    </row>
    <row r="25" spans="1:21" x14ac:dyDescent="0.2">
      <c r="A25" s="70"/>
      <c r="B25" s="86" t="s">
        <v>22</v>
      </c>
      <c r="C25" s="36">
        <f>SUM(C6:C24)</f>
        <v>28741</v>
      </c>
      <c r="D25" s="35">
        <f>SUM(D6:D24)</f>
        <v>16917</v>
      </c>
      <c r="E25" s="35">
        <f>SUM(E6:E24)</f>
        <v>20574</v>
      </c>
      <c r="F25" s="96">
        <f t="shared" si="3"/>
        <v>0.58860164921192726</v>
      </c>
      <c r="G25" s="96">
        <f t="shared" si="3"/>
        <v>1.2161730803333926</v>
      </c>
      <c r="H25" s="35">
        <f>SUM(H6:H24)</f>
        <v>17499.730923694777</v>
      </c>
      <c r="I25" s="95">
        <f t="shared" si="0"/>
        <v>-582.73092369477672</v>
      </c>
      <c r="J25" s="35"/>
      <c r="K25" s="100"/>
      <c r="L25" s="101"/>
      <c r="M25" s="102"/>
      <c r="N25" s="103">
        <f>SUM(N8:N24)</f>
        <v>296992</v>
      </c>
      <c r="O25" s="103">
        <f t="shared" ref="O25" si="4">SUM(O8:O24)</f>
        <v>292139.96000000002</v>
      </c>
      <c r="P25" s="104"/>
      <c r="Q25" s="104"/>
      <c r="R25" s="103">
        <f t="shared" ref="R25" si="5">SUM(R8:R24)</f>
        <v>293331.7951807229</v>
      </c>
      <c r="S25" s="95">
        <f t="shared" si="2"/>
        <v>-3660.2048192771035</v>
      </c>
      <c r="T25" s="103"/>
    </row>
    <row r="26" spans="1:21" x14ac:dyDescent="0.2">
      <c r="A26" s="70"/>
      <c r="B26" s="70"/>
      <c r="C26" s="70"/>
      <c r="D26" s="95"/>
      <c r="E26" s="95"/>
      <c r="F26" s="96"/>
      <c r="G26" s="96"/>
      <c r="H26" s="95"/>
      <c r="I26" s="95">
        <f t="shared" si="0"/>
        <v>0</v>
      </c>
      <c r="J26" s="95"/>
      <c r="K26" s="95"/>
      <c r="L26" s="56"/>
      <c r="M26" s="99"/>
      <c r="N26" s="75"/>
      <c r="O26" s="95"/>
      <c r="P26" s="96"/>
      <c r="Q26" s="96"/>
      <c r="R26" s="76"/>
      <c r="S26" s="95">
        <f t="shared" si="2"/>
        <v>0</v>
      </c>
      <c r="T26" s="76"/>
    </row>
    <row r="27" spans="1:21" x14ac:dyDescent="0.2">
      <c r="A27" s="105">
        <v>102</v>
      </c>
      <c r="B27" s="91" t="s">
        <v>23</v>
      </c>
      <c r="C27" s="70"/>
      <c r="D27" s="95"/>
      <c r="E27" s="95"/>
      <c r="F27" s="96"/>
      <c r="G27" s="96"/>
      <c r="H27" s="95"/>
      <c r="I27" s="95">
        <f t="shared" si="0"/>
        <v>0</v>
      </c>
      <c r="J27" s="95"/>
      <c r="K27" s="95"/>
      <c r="L27" s="56"/>
      <c r="M27" s="99"/>
      <c r="N27" s="75"/>
      <c r="O27" s="95"/>
      <c r="P27" s="96"/>
      <c r="Q27" s="96"/>
      <c r="R27" s="76"/>
      <c r="S27" s="95">
        <f t="shared" si="2"/>
        <v>0</v>
      </c>
      <c r="T27" s="76"/>
    </row>
    <row r="28" spans="1:21" x14ac:dyDescent="0.2">
      <c r="A28" s="70"/>
      <c r="B28" s="86" t="s">
        <v>261</v>
      </c>
      <c r="C28" s="36">
        <v>202052</v>
      </c>
      <c r="D28" s="100">
        <v>227000</v>
      </c>
      <c r="E28" s="35">
        <v>184081</v>
      </c>
      <c r="F28" s="96">
        <v>0.67</v>
      </c>
      <c r="G28" s="96">
        <v>0.81499999999999995</v>
      </c>
      <c r="H28" s="95">
        <f t="shared" ref="H28" si="6">+E28/G28</f>
        <v>225866.25766871168</v>
      </c>
      <c r="I28" s="95">
        <f t="shared" si="0"/>
        <v>1133.7423312883184</v>
      </c>
      <c r="J28" s="100">
        <f>+H28/100*105</f>
        <v>237159.57055214726</v>
      </c>
      <c r="K28" s="100"/>
      <c r="L28" s="101"/>
      <c r="M28" s="99" t="s">
        <v>267</v>
      </c>
      <c r="N28" s="75">
        <v>5000</v>
      </c>
      <c r="O28" s="95">
        <v>2500</v>
      </c>
      <c r="P28" s="96"/>
      <c r="Q28" s="96"/>
      <c r="R28" s="76">
        <v>5000</v>
      </c>
      <c r="S28" s="95">
        <f t="shared" si="2"/>
        <v>0</v>
      </c>
      <c r="T28" s="76"/>
    </row>
    <row r="29" spans="1:21" x14ac:dyDescent="0.2">
      <c r="A29" s="70"/>
      <c r="B29" s="70" t="s">
        <v>263</v>
      </c>
      <c r="C29" s="70"/>
      <c r="D29" s="95"/>
      <c r="E29" s="95"/>
      <c r="F29" s="96"/>
      <c r="G29" s="96"/>
      <c r="H29" s="95"/>
      <c r="I29" s="95">
        <f t="shared" si="0"/>
        <v>0</v>
      </c>
      <c r="J29" s="95"/>
      <c r="K29" s="95"/>
      <c r="L29" s="56"/>
      <c r="M29" s="99"/>
      <c r="N29" s="75"/>
      <c r="O29" s="95"/>
      <c r="P29" s="96"/>
      <c r="Q29" s="96"/>
      <c r="R29" s="76"/>
      <c r="S29" s="95">
        <f t="shared" si="2"/>
        <v>0</v>
      </c>
      <c r="T29" s="76"/>
    </row>
    <row r="30" spans="1:21" x14ac:dyDescent="0.2">
      <c r="A30" s="105">
        <v>103</v>
      </c>
      <c r="B30" s="91" t="s">
        <v>24</v>
      </c>
      <c r="C30" s="70"/>
      <c r="D30" s="95"/>
      <c r="E30" s="95"/>
      <c r="F30" s="96"/>
      <c r="G30" s="96"/>
      <c r="H30" s="95"/>
      <c r="I30" s="95">
        <f t="shared" si="0"/>
        <v>0</v>
      </c>
      <c r="J30" s="95"/>
      <c r="K30" s="95"/>
      <c r="L30" s="70"/>
      <c r="M30" s="70"/>
      <c r="N30" s="75"/>
      <c r="O30" s="95"/>
      <c r="P30" s="96"/>
      <c r="Q30" s="96"/>
      <c r="R30" s="76"/>
      <c r="S30" s="95">
        <f t="shared" si="2"/>
        <v>0</v>
      </c>
      <c r="T30" s="76"/>
    </row>
    <row r="31" spans="1:21" ht="15.75" customHeight="1" x14ac:dyDescent="0.2">
      <c r="A31" s="94">
        <v>1338</v>
      </c>
      <c r="B31" s="70" t="s">
        <v>25</v>
      </c>
      <c r="C31" s="70">
        <v>1785</v>
      </c>
      <c r="D31" s="95">
        <f>VLOOKUP(A31,Data!$A$7:$F$130,6,FALSE)</f>
        <v>500</v>
      </c>
      <c r="E31" s="95">
        <f>VLOOKUP(A31,Data!$A$7:$E$130,5,FALSE)</f>
        <v>426</v>
      </c>
      <c r="F31" s="96">
        <f t="shared" si="3"/>
        <v>0.28011204481792717</v>
      </c>
      <c r="G31" s="96">
        <f t="shared" si="3"/>
        <v>0.85199999999999998</v>
      </c>
      <c r="H31" s="95">
        <f t="shared" ref="H31:H39" si="7">+E31/G31</f>
        <v>500</v>
      </c>
      <c r="I31" s="95">
        <f t="shared" si="0"/>
        <v>0</v>
      </c>
      <c r="J31" s="95"/>
      <c r="K31" s="95" t="s">
        <v>265</v>
      </c>
      <c r="L31" s="106">
        <v>1383</v>
      </c>
      <c r="M31" s="99" t="s">
        <v>26</v>
      </c>
      <c r="N31" s="75">
        <v>0</v>
      </c>
      <c r="O31" s="95"/>
      <c r="P31" s="96"/>
      <c r="Q31" s="96"/>
      <c r="R31" s="76"/>
      <c r="S31" s="95">
        <f t="shared" si="2"/>
        <v>0</v>
      </c>
      <c r="T31" s="76"/>
    </row>
    <row r="32" spans="1:21" x14ac:dyDescent="0.2">
      <c r="A32" s="94">
        <v>1339</v>
      </c>
      <c r="B32" s="70" t="s">
        <v>135</v>
      </c>
      <c r="C32" s="70">
        <v>117</v>
      </c>
      <c r="D32" s="95">
        <f>VLOOKUP(A32,Data!$A$7:$F$130,6,FALSE)</f>
        <v>1560</v>
      </c>
      <c r="E32" s="95">
        <f>VLOOKUP(A32,Data!$A$7:$E$130,5,FALSE)</f>
        <v>180</v>
      </c>
      <c r="F32" s="96">
        <f t="shared" si="3"/>
        <v>13.333333333333334</v>
      </c>
      <c r="G32" s="96">
        <f t="shared" si="3"/>
        <v>0.11538461538461539</v>
      </c>
      <c r="H32" s="95">
        <f t="shared" si="7"/>
        <v>1560</v>
      </c>
      <c r="I32" s="95">
        <f t="shared" si="0"/>
        <v>0</v>
      </c>
      <c r="J32" s="95"/>
      <c r="K32" s="95"/>
      <c r="L32" s="78">
        <v>1384</v>
      </c>
      <c r="M32" s="74" t="s">
        <v>27</v>
      </c>
      <c r="N32" s="75">
        <v>1250</v>
      </c>
      <c r="O32" s="95">
        <f>VLOOKUP($L32,Data!$A$7:$E$93,5,FALSE)</f>
        <v>375</v>
      </c>
      <c r="P32" s="96">
        <v>1</v>
      </c>
      <c r="Q32" s="96">
        <f>+O32/N32</f>
        <v>0.3</v>
      </c>
      <c r="R32" s="76">
        <f>+O32/P32</f>
        <v>375</v>
      </c>
      <c r="S32" s="95">
        <f t="shared" si="2"/>
        <v>-875</v>
      </c>
      <c r="T32" s="76"/>
      <c r="U32" s="5" t="s">
        <v>295</v>
      </c>
    </row>
    <row r="33" spans="1:21" x14ac:dyDescent="0.2">
      <c r="A33" s="94">
        <v>1344</v>
      </c>
      <c r="B33" s="70" t="s">
        <v>28</v>
      </c>
      <c r="C33" s="70"/>
      <c r="D33" s="95"/>
      <c r="E33" s="95"/>
      <c r="F33" s="96"/>
      <c r="G33" s="96"/>
      <c r="H33" s="95"/>
      <c r="I33" s="95">
        <f t="shared" si="0"/>
        <v>0</v>
      </c>
      <c r="J33" s="95"/>
      <c r="K33" s="95"/>
      <c r="L33" s="78"/>
      <c r="M33" s="74"/>
      <c r="N33" s="75"/>
      <c r="O33" s="95"/>
      <c r="P33" s="96"/>
      <c r="Q33" s="96"/>
      <c r="R33" s="76"/>
      <c r="S33" s="95">
        <f t="shared" si="2"/>
        <v>0</v>
      </c>
      <c r="T33" s="76"/>
    </row>
    <row r="34" spans="1:21" x14ac:dyDescent="0.2">
      <c r="A34" s="94">
        <v>1345</v>
      </c>
      <c r="B34" s="70" t="s">
        <v>29</v>
      </c>
      <c r="C34" s="70"/>
      <c r="D34" s="95"/>
      <c r="E34" s="95"/>
      <c r="F34" s="96"/>
      <c r="G34" s="96"/>
      <c r="H34" s="95"/>
      <c r="I34" s="95">
        <f t="shared" si="0"/>
        <v>0</v>
      </c>
      <c r="J34" s="95"/>
      <c r="K34" s="95"/>
      <c r="L34" s="78">
        <v>1385</v>
      </c>
      <c r="M34" s="74" t="s">
        <v>30</v>
      </c>
      <c r="N34" s="75">
        <v>2308</v>
      </c>
      <c r="O34" s="95">
        <f>VLOOKUP($L34,Data!$A$7:$E$93,5,FALSE)</f>
        <v>2203</v>
      </c>
      <c r="P34" s="96">
        <v>0.83</v>
      </c>
      <c r="Q34" s="96">
        <v>0.25</v>
      </c>
      <c r="R34" s="76">
        <f>+O34/P34</f>
        <v>2654.2168674698796</v>
      </c>
      <c r="S34" s="95">
        <f t="shared" si="2"/>
        <v>346.21686746987962</v>
      </c>
      <c r="T34" s="76"/>
      <c r="U34" s="5" t="s">
        <v>305</v>
      </c>
    </row>
    <row r="35" spans="1:21" x14ac:dyDescent="0.2">
      <c r="A35" s="94">
        <v>1348</v>
      </c>
      <c r="B35" s="70" t="s">
        <v>136</v>
      </c>
      <c r="C35" s="70">
        <v>2637</v>
      </c>
      <c r="D35" s="95">
        <f>VLOOKUP(A35,Data!$A$7:$F$130,6,FALSE)</f>
        <v>2703</v>
      </c>
      <c r="E35" s="95">
        <f>VLOOKUP(A35,Data!$A$7:$E$130,5,FALSE)</f>
        <v>1966</v>
      </c>
      <c r="F35" s="96">
        <f t="shared" si="3"/>
        <v>1.025028441410694</v>
      </c>
      <c r="G35" s="96">
        <f t="shared" si="3"/>
        <v>0.72733999260081394</v>
      </c>
      <c r="H35" s="95">
        <f t="shared" si="7"/>
        <v>2703</v>
      </c>
      <c r="I35" s="95">
        <f t="shared" si="0"/>
        <v>0</v>
      </c>
      <c r="J35" s="95"/>
      <c r="K35" s="95"/>
      <c r="L35" s="78">
        <v>1386</v>
      </c>
      <c r="M35" s="74" t="s">
        <v>31</v>
      </c>
      <c r="N35" s="75">
        <v>0</v>
      </c>
      <c r="O35" s="95"/>
      <c r="P35" s="96"/>
      <c r="Q35" s="96"/>
      <c r="R35" s="76"/>
      <c r="S35" s="95">
        <f t="shared" si="2"/>
        <v>0</v>
      </c>
      <c r="T35" s="76"/>
    </row>
    <row r="36" spans="1:21" x14ac:dyDescent="0.2">
      <c r="A36" s="94">
        <v>1349</v>
      </c>
      <c r="B36" s="70" t="s">
        <v>32</v>
      </c>
      <c r="C36" s="70"/>
      <c r="D36" s="95">
        <f>VLOOKUP(A36,Data!$A$7:$F$130,6,FALSE)</f>
        <v>0</v>
      </c>
      <c r="E36" s="95">
        <f>VLOOKUP(A36,Data!$A$7:$E$130,5,FALSE)</f>
        <v>50</v>
      </c>
      <c r="F36" s="96"/>
      <c r="G36" s="96"/>
      <c r="H36" s="95"/>
      <c r="I36" s="95">
        <f t="shared" si="0"/>
        <v>0</v>
      </c>
      <c r="J36" s="95"/>
      <c r="K36" s="95"/>
      <c r="L36" s="70">
        <v>1390</v>
      </c>
      <c r="M36" s="74" t="s">
        <v>33</v>
      </c>
      <c r="N36" s="75">
        <v>0</v>
      </c>
      <c r="O36" s="95"/>
      <c r="P36" s="96"/>
      <c r="Q36" s="96"/>
      <c r="R36" s="76"/>
      <c r="S36" s="95">
        <f t="shared" si="2"/>
        <v>0</v>
      </c>
      <c r="T36" s="76"/>
    </row>
    <row r="37" spans="1:21" x14ac:dyDescent="0.2">
      <c r="A37" s="94">
        <v>1372</v>
      </c>
      <c r="B37" s="70" t="s">
        <v>137</v>
      </c>
      <c r="C37" s="70">
        <v>2783</v>
      </c>
      <c r="D37" s="95">
        <f>VLOOKUP(A37,Data!$A$7:$F$130,6,FALSE)</f>
        <v>2017</v>
      </c>
      <c r="E37" s="95">
        <f>VLOOKUP(A37,Data!$A$7:$E$130,5,FALSE)</f>
        <v>0</v>
      </c>
      <c r="F37" s="96">
        <f t="shared" si="3"/>
        <v>0.72475745598275243</v>
      </c>
      <c r="G37" s="96">
        <f t="shared" si="3"/>
        <v>0</v>
      </c>
      <c r="H37" s="95"/>
      <c r="I37" s="95">
        <f t="shared" si="0"/>
        <v>2017</v>
      </c>
      <c r="J37" s="95"/>
      <c r="K37" s="95" t="s">
        <v>288</v>
      </c>
      <c r="L37" s="70">
        <v>1391</v>
      </c>
      <c r="M37" s="74" t="s">
        <v>34</v>
      </c>
      <c r="N37" s="75">
        <v>1200</v>
      </c>
      <c r="O37" s="95">
        <f>VLOOKUP($L37,Data!$A$7:$E$93,5,FALSE)</f>
        <v>0</v>
      </c>
      <c r="P37" s="96">
        <v>0</v>
      </c>
      <c r="Q37" s="96"/>
      <c r="R37" s="76">
        <v>1200</v>
      </c>
      <c r="S37" s="95">
        <f t="shared" si="2"/>
        <v>0</v>
      </c>
      <c r="T37" s="76"/>
    </row>
    <row r="38" spans="1:21" x14ac:dyDescent="0.2">
      <c r="A38" s="94">
        <v>1373</v>
      </c>
      <c r="B38" s="70" t="s">
        <v>35</v>
      </c>
      <c r="C38" s="70">
        <v>3912</v>
      </c>
      <c r="D38" s="95">
        <f>VLOOKUP(A38,Data!$A$7:$F$130,6,FALSE)</f>
        <v>4576</v>
      </c>
      <c r="E38" s="95">
        <f>VLOOKUP(A38,Data!$A$7:$E$130,5,FALSE)</f>
        <v>2962</v>
      </c>
      <c r="F38" s="96">
        <v>0.75</v>
      </c>
      <c r="G38" s="96">
        <v>0.5</v>
      </c>
      <c r="H38" s="95">
        <f t="shared" si="7"/>
        <v>5924</v>
      </c>
      <c r="I38" s="95">
        <f t="shared" ref="I38:I69" si="8">+D38-H38</f>
        <v>-1348</v>
      </c>
      <c r="J38" s="95"/>
      <c r="K38" s="95" t="s">
        <v>289</v>
      </c>
      <c r="L38" s="78">
        <v>1392</v>
      </c>
      <c r="M38" s="135" t="s">
        <v>148</v>
      </c>
      <c r="N38" s="131">
        <v>250</v>
      </c>
      <c r="O38" s="126">
        <f>VLOOKUP($L38,Data!$A$7:$E$93,5,FALSE)</f>
        <v>1200</v>
      </c>
      <c r="P38" s="127">
        <v>0</v>
      </c>
      <c r="Q38" s="127">
        <f>VLOOKUP($L38,Data!$A$7:$I$93,9,FALSE)</f>
        <v>0</v>
      </c>
      <c r="R38" s="136">
        <v>250</v>
      </c>
      <c r="S38" s="95">
        <f t="shared" si="2"/>
        <v>0</v>
      </c>
      <c r="T38" s="76"/>
    </row>
    <row r="39" spans="1:21" x14ac:dyDescent="0.2">
      <c r="A39" s="94">
        <v>1375</v>
      </c>
      <c r="B39" s="70" t="s">
        <v>36</v>
      </c>
      <c r="C39" s="70">
        <v>1140</v>
      </c>
      <c r="D39" s="95">
        <f>VLOOKUP(A39,Data!$A$7:$F$130,6,FALSE)</f>
        <v>2077</v>
      </c>
      <c r="E39" s="95">
        <f>VLOOKUP(A39,Data!$A$7:$E$130,5,FALSE)</f>
        <v>1557</v>
      </c>
      <c r="F39" s="96">
        <v>0.83</v>
      </c>
      <c r="G39" s="96">
        <v>0.83</v>
      </c>
      <c r="H39" s="95">
        <f t="shared" si="7"/>
        <v>1875.9036144578315</v>
      </c>
      <c r="I39" s="95">
        <f t="shared" si="8"/>
        <v>201.09638554216849</v>
      </c>
      <c r="J39" s="95"/>
      <c r="K39" s="107"/>
      <c r="L39" s="106">
        <v>1394</v>
      </c>
      <c r="M39" s="99" t="s">
        <v>125</v>
      </c>
      <c r="N39" s="75">
        <v>0</v>
      </c>
      <c r="O39" s="95"/>
      <c r="P39" s="96"/>
      <c r="Q39" s="96"/>
      <c r="R39" s="76"/>
      <c r="S39" s="95">
        <f t="shared" si="2"/>
        <v>0</v>
      </c>
      <c r="T39" s="76"/>
    </row>
    <row r="40" spans="1:21" x14ac:dyDescent="0.2">
      <c r="A40" s="70"/>
      <c r="B40" s="86" t="s">
        <v>37</v>
      </c>
      <c r="C40" s="36">
        <f>SUM(C31:C39)</f>
        <v>12374</v>
      </c>
      <c r="D40" s="35">
        <f t="shared" ref="D40:E40" si="9">SUM(D31:D39)</f>
        <v>13433</v>
      </c>
      <c r="E40" s="35">
        <f t="shared" si="9"/>
        <v>7141</v>
      </c>
      <c r="F40" s="96"/>
      <c r="G40" s="96"/>
      <c r="H40" s="35">
        <f t="shared" ref="H40" si="10">SUM(H31:H39)</f>
        <v>12562.903614457831</v>
      </c>
      <c r="I40" s="95">
        <f t="shared" si="8"/>
        <v>870.09638554216872</v>
      </c>
      <c r="J40" s="35"/>
      <c r="K40" s="100"/>
      <c r="L40" s="56"/>
      <c r="M40" s="99"/>
      <c r="N40" s="108">
        <f>SUM(N30:N39)</f>
        <v>5008</v>
      </c>
      <c r="O40" s="108">
        <f t="shared" ref="O40" si="11">SUM(O30:O39)</f>
        <v>3778</v>
      </c>
      <c r="P40" s="104"/>
      <c r="Q40" s="104"/>
      <c r="R40" s="108">
        <f t="shared" ref="R40" si="12">SUM(R30:R39)</f>
        <v>4479.2168674698796</v>
      </c>
      <c r="S40" s="95">
        <f t="shared" si="2"/>
        <v>-528.78313253012038</v>
      </c>
      <c r="T40" s="108"/>
    </row>
    <row r="41" spans="1:21" x14ac:dyDescent="0.2">
      <c r="A41" s="70"/>
      <c r="B41" s="86"/>
      <c r="C41" s="70"/>
      <c r="D41" s="95"/>
      <c r="E41" s="95"/>
      <c r="F41" s="96"/>
      <c r="G41" s="96"/>
      <c r="H41" s="95"/>
      <c r="I41" s="95">
        <f t="shared" si="8"/>
        <v>0</v>
      </c>
      <c r="J41" s="95"/>
      <c r="K41" s="95"/>
      <c r="L41" s="56"/>
      <c r="M41" s="99"/>
      <c r="N41" s="75"/>
      <c r="O41" s="95"/>
      <c r="P41" s="96"/>
      <c r="Q41" s="96"/>
      <c r="R41" s="76"/>
      <c r="S41" s="95">
        <f t="shared" si="2"/>
        <v>0</v>
      </c>
      <c r="T41" s="76"/>
    </row>
    <row r="42" spans="1:21" x14ac:dyDescent="0.2">
      <c r="A42" s="105">
        <v>104</v>
      </c>
      <c r="B42" s="91" t="s">
        <v>38</v>
      </c>
      <c r="C42" s="70"/>
      <c r="D42" s="95"/>
      <c r="E42" s="95"/>
      <c r="F42" s="96"/>
      <c r="G42" s="96"/>
      <c r="H42" s="95"/>
      <c r="I42" s="95">
        <f t="shared" si="8"/>
        <v>0</v>
      </c>
      <c r="J42" s="95"/>
      <c r="K42" s="95"/>
      <c r="L42" s="56"/>
      <c r="M42" s="99"/>
      <c r="N42" s="75"/>
      <c r="O42" s="95"/>
      <c r="P42" s="96"/>
      <c r="Q42" s="96"/>
      <c r="R42" s="76"/>
      <c r="S42" s="95">
        <f t="shared" ref="S42:S73" si="13">+R42-N42</f>
        <v>0</v>
      </c>
      <c r="T42" s="76"/>
    </row>
    <row r="43" spans="1:21" x14ac:dyDescent="0.2">
      <c r="A43" s="94">
        <v>1413</v>
      </c>
      <c r="B43" s="70" t="s">
        <v>138</v>
      </c>
      <c r="C43" s="70">
        <v>948</v>
      </c>
      <c r="D43" s="95">
        <f>VLOOKUP(A43,Data!$A$7:$F$130,6,FALSE)</f>
        <v>1036</v>
      </c>
      <c r="E43" s="95">
        <f>VLOOKUP(A43,Data!$A$7:$E$130,5,FALSE)</f>
        <v>595</v>
      </c>
      <c r="F43" s="96">
        <v>1</v>
      </c>
      <c r="G43" s="96">
        <v>1</v>
      </c>
      <c r="H43" s="95">
        <f>+E43/F43</f>
        <v>595</v>
      </c>
      <c r="I43" s="95">
        <f t="shared" si="8"/>
        <v>441</v>
      </c>
      <c r="J43" s="95"/>
      <c r="K43" s="95" t="s">
        <v>290</v>
      </c>
      <c r="L43" s="56"/>
      <c r="M43" s="99"/>
      <c r="N43" s="75"/>
      <c r="O43" s="95"/>
      <c r="P43" s="96"/>
      <c r="Q43" s="96"/>
      <c r="R43" s="76"/>
      <c r="S43" s="95">
        <f t="shared" si="13"/>
        <v>0</v>
      </c>
      <c r="T43" s="76"/>
    </row>
    <row r="44" spans="1:21" x14ac:dyDescent="0.2">
      <c r="A44" s="94">
        <v>1414</v>
      </c>
      <c r="B44" s="70" t="s">
        <v>39</v>
      </c>
      <c r="C44" s="70">
        <v>937</v>
      </c>
      <c r="D44" s="95">
        <f>VLOOKUP(A44,Data!$A$7:$F$130,6,FALSE)</f>
        <v>682</v>
      </c>
      <c r="E44" s="95">
        <f>VLOOKUP(A44,Data!$A$7:$E$130,5,FALSE)</f>
        <v>411</v>
      </c>
      <c r="F44" s="96">
        <v>0.83</v>
      </c>
      <c r="G44" s="96">
        <v>0.83</v>
      </c>
      <c r="H44" s="95">
        <f t="shared" ref="H44:H58" si="14">+E44/G44</f>
        <v>495.18072289156629</v>
      </c>
      <c r="I44" s="95">
        <f t="shared" si="8"/>
        <v>186.81927710843371</v>
      </c>
      <c r="J44" s="95"/>
      <c r="K44" s="95"/>
      <c r="L44" s="78">
        <v>1483</v>
      </c>
      <c r="M44" s="74" t="s">
        <v>40</v>
      </c>
      <c r="N44" s="75">
        <v>8000</v>
      </c>
      <c r="O44" s="95">
        <v>8000</v>
      </c>
      <c r="P44" s="96">
        <v>1</v>
      </c>
      <c r="Q44" s="96">
        <f>+O44/N44</f>
        <v>1</v>
      </c>
      <c r="R44" s="76">
        <v>8000</v>
      </c>
      <c r="S44" s="95">
        <f t="shared" si="13"/>
        <v>0</v>
      </c>
      <c r="T44" s="76"/>
    </row>
    <row r="45" spans="1:21" x14ac:dyDescent="0.2">
      <c r="A45" s="94">
        <v>1415</v>
      </c>
      <c r="B45" s="70" t="s">
        <v>41</v>
      </c>
      <c r="C45" s="70">
        <v>1141</v>
      </c>
      <c r="D45" s="95">
        <f>VLOOKUP(A45,Data!$A$7:$F$130,6,FALSE)</f>
        <v>1100</v>
      </c>
      <c r="E45" s="95">
        <f>VLOOKUP(A45,Data!$A$7:$E$130,5,FALSE)</f>
        <v>969</v>
      </c>
      <c r="F45" s="96">
        <f t="shared" si="3"/>
        <v>0.96406660823838741</v>
      </c>
      <c r="G45" s="96">
        <f t="shared" si="3"/>
        <v>0.88090909090909086</v>
      </c>
      <c r="H45" s="95">
        <f t="shared" si="14"/>
        <v>1100</v>
      </c>
      <c r="I45" s="95">
        <f t="shared" si="8"/>
        <v>0</v>
      </c>
      <c r="J45" s="95"/>
      <c r="K45" s="95"/>
      <c r="L45" s="78">
        <v>1487</v>
      </c>
      <c r="M45" s="74" t="s">
        <v>42</v>
      </c>
      <c r="N45" s="75">
        <v>375</v>
      </c>
      <c r="O45" s="95">
        <v>0</v>
      </c>
      <c r="P45" s="96">
        <v>0</v>
      </c>
      <c r="Q45" s="96">
        <v>0</v>
      </c>
      <c r="R45" s="76">
        <v>375</v>
      </c>
      <c r="S45" s="95">
        <f t="shared" si="13"/>
        <v>0</v>
      </c>
      <c r="T45" s="76"/>
    </row>
    <row r="46" spans="1:21" x14ac:dyDescent="0.2">
      <c r="A46" s="119">
        <v>1436</v>
      </c>
      <c r="B46" s="1" t="s">
        <v>43</v>
      </c>
      <c r="D46" s="95">
        <f>VLOOKUP(A46,Data!$A$7:$F$130,6,FALSE)</f>
        <v>0</v>
      </c>
      <c r="E46" s="95">
        <f>VLOOKUP(A46,Data!$A$7:$E$130,5,FALSE)</f>
        <v>0</v>
      </c>
      <c r="F46" s="121"/>
      <c r="G46" s="121"/>
      <c r="H46" s="95"/>
      <c r="I46" s="95">
        <f t="shared" si="8"/>
        <v>0</v>
      </c>
      <c r="J46" s="120"/>
      <c r="K46" s="120"/>
      <c r="L46" s="122">
        <v>1488</v>
      </c>
      <c r="M46" s="4" t="s">
        <v>245</v>
      </c>
      <c r="O46" s="120"/>
      <c r="P46" s="121"/>
      <c r="Q46" s="121"/>
      <c r="S46" s="120">
        <f t="shared" si="13"/>
        <v>0</v>
      </c>
    </row>
    <row r="47" spans="1:21" x14ac:dyDescent="0.2">
      <c r="A47" s="94">
        <v>1439</v>
      </c>
      <c r="B47" s="70" t="s">
        <v>46</v>
      </c>
      <c r="C47" s="70">
        <v>2581</v>
      </c>
      <c r="D47" s="95">
        <f>VLOOKUP(A47,Data!$A$7:$F$130,6,FALSE)</f>
        <v>2438</v>
      </c>
      <c r="E47" s="95">
        <f>VLOOKUP(A47,Data!$A$7:$E$130,5,FALSE)</f>
        <v>3231</v>
      </c>
      <c r="F47" s="96">
        <f t="shared" si="3"/>
        <v>0.94459511817125141</v>
      </c>
      <c r="G47" s="96">
        <v>0.83</v>
      </c>
      <c r="H47" s="95">
        <f t="shared" si="14"/>
        <v>3892.7710843373497</v>
      </c>
      <c r="I47" s="95">
        <f t="shared" si="8"/>
        <v>-1454.7710843373497</v>
      </c>
      <c r="J47" s="95"/>
      <c r="K47" s="95" t="s">
        <v>291</v>
      </c>
      <c r="L47" s="109" t="s">
        <v>44</v>
      </c>
      <c r="M47" s="99" t="s">
        <v>45</v>
      </c>
      <c r="N47" s="75">
        <v>0</v>
      </c>
      <c r="O47" s="95"/>
      <c r="P47" s="96"/>
      <c r="Q47" s="96"/>
      <c r="R47" s="76"/>
      <c r="S47" s="95">
        <f t="shared" si="13"/>
        <v>0</v>
      </c>
      <c r="T47" s="76"/>
    </row>
    <row r="48" spans="1:21" x14ac:dyDescent="0.2">
      <c r="A48" s="94">
        <v>1440</v>
      </c>
      <c r="B48" s="70" t="s">
        <v>47</v>
      </c>
      <c r="C48" s="70">
        <v>460</v>
      </c>
      <c r="D48" s="95">
        <f>VLOOKUP(A48,Data!$A$7:$F$130,6,FALSE)</f>
        <v>1000</v>
      </c>
      <c r="E48" s="95">
        <f>VLOOKUP(A48,Data!$A$7:$E$130,5,FALSE)</f>
        <v>312</v>
      </c>
      <c r="F48" s="96">
        <v>0.83</v>
      </c>
      <c r="G48" s="96">
        <v>0.5</v>
      </c>
      <c r="H48" s="95">
        <f t="shared" si="14"/>
        <v>624</v>
      </c>
      <c r="I48" s="95">
        <f t="shared" si="8"/>
        <v>376</v>
      </c>
      <c r="J48" s="95"/>
      <c r="K48" s="95"/>
      <c r="L48" s="70">
        <v>1490</v>
      </c>
      <c r="M48" s="74" t="s">
        <v>276</v>
      </c>
      <c r="N48" s="75"/>
      <c r="O48" s="95">
        <f>VLOOKUP($L48,Data!$A$7:$E$93,5,FALSE)</f>
        <v>230</v>
      </c>
      <c r="P48" s="76"/>
      <c r="Q48" s="96"/>
      <c r="R48" s="76">
        <v>230</v>
      </c>
      <c r="S48" s="95">
        <f t="shared" si="13"/>
        <v>230</v>
      </c>
      <c r="T48" s="76"/>
    </row>
    <row r="49" spans="1:20" x14ac:dyDescent="0.2">
      <c r="A49" s="94">
        <v>1441</v>
      </c>
      <c r="B49" s="70" t="s">
        <v>139</v>
      </c>
      <c r="C49" s="70">
        <v>3827</v>
      </c>
      <c r="D49" s="95">
        <f>VLOOKUP(A49,Data!$A$7:$F$130,6,FALSE)</f>
        <v>3066</v>
      </c>
      <c r="E49" s="95">
        <f>VLOOKUP(A49,Data!$A$7:$E$130,5,FALSE)</f>
        <v>5146</v>
      </c>
      <c r="F49" s="96">
        <f t="shared" si="3"/>
        <v>0.80114972563365561</v>
      </c>
      <c r="G49" s="96">
        <v>0.9</v>
      </c>
      <c r="H49" s="95">
        <f t="shared" si="14"/>
        <v>5717.7777777777774</v>
      </c>
      <c r="I49" s="95">
        <f t="shared" si="8"/>
        <v>-2651.7777777777774</v>
      </c>
      <c r="J49" s="95"/>
      <c r="K49" s="95"/>
      <c r="L49" s="56"/>
      <c r="M49" s="99"/>
      <c r="N49" s="87">
        <f>SUM(N44:N47)</f>
        <v>8375</v>
      </c>
      <c r="O49" s="87">
        <f>SUM(O44:O47)</f>
        <v>8000</v>
      </c>
      <c r="P49" s="104"/>
      <c r="Q49" s="104"/>
      <c r="R49" s="87">
        <f>SUM(R44:R48)</f>
        <v>8605</v>
      </c>
      <c r="S49" s="95">
        <f t="shared" si="13"/>
        <v>230</v>
      </c>
      <c r="T49" s="87"/>
    </row>
    <row r="50" spans="1:20" x14ac:dyDescent="0.2">
      <c r="A50" s="94">
        <v>1443</v>
      </c>
      <c r="B50" s="70" t="s">
        <v>48</v>
      </c>
      <c r="C50" s="70">
        <v>4882</v>
      </c>
      <c r="D50" s="95">
        <f>VLOOKUP(A50,Data!$A$7:$F$130,6,FALSE)</f>
        <v>3684</v>
      </c>
      <c r="E50" s="95">
        <f>VLOOKUP(A50,Data!$A$7:$E$130,5,FALSE)</f>
        <v>3547</v>
      </c>
      <c r="F50" s="96">
        <f t="shared" si="3"/>
        <v>0.75460876689881196</v>
      </c>
      <c r="G50" s="96">
        <v>0.83</v>
      </c>
      <c r="H50" s="95">
        <f t="shared" si="14"/>
        <v>4273.4939759036142</v>
      </c>
      <c r="I50" s="95">
        <f t="shared" si="8"/>
        <v>-589.49397590361423</v>
      </c>
      <c r="J50" s="95"/>
      <c r="K50" s="107" t="s">
        <v>266</v>
      </c>
      <c r="L50" s="56"/>
      <c r="M50" s="99"/>
      <c r="N50" s="75"/>
      <c r="O50" s="95"/>
      <c r="P50" s="96"/>
      <c r="Q50" s="96"/>
      <c r="R50" s="76"/>
      <c r="S50" s="95">
        <f t="shared" si="13"/>
        <v>0</v>
      </c>
      <c r="T50" s="76"/>
    </row>
    <row r="51" spans="1:20" x14ac:dyDescent="0.2">
      <c r="A51" s="94">
        <v>1444</v>
      </c>
      <c r="B51" s="70" t="s">
        <v>140</v>
      </c>
      <c r="C51" s="70">
        <v>1930</v>
      </c>
      <c r="D51" s="95">
        <f>VLOOKUP(A51,Data!$A$7:$F$130,6,FALSE)</f>
        <v>2064</v>
      </c>
      <c r="E51" s="95">
        <f>VLOOKUP(A51,Data!$A$7:$E$130,5,FALSE)</f>
        <v>1616</v>
      </c>
      <c r="F51" s="96">
        <v>0.83</v>
      </c>
      <c r="G51" s="96">
        <v>0.83</v>
      </c>
      <c r="H51" s="95">
        <f t="shared" si="14"/>
        <v>1946.9879518072289</v>
      </c>
      <c r="I51" s="95">
        <f t="shared" si="8"/>
        <v>117.01204819277109</v>
      </c>
      <c r="J51" s="95"/>
      <c r="K51" s="95"/>
      <c r="L51" s="56"/>
      <c r="M51" s="99"/>
      <c r="N51" s="75"/>
      <c r="O51" s="95"/>
      <c r="P51" s="96"/>
      <c r="Q51" s="96"/>
      <c r="R51" s="76"/>
      <c r="S51" s="95">
        <f t="shared" si="13"/>
        <v>0</v>
      </c>
      <c r="T51" s="76"/>
    </row>
    <row r="52" spans="1:20" x14ac:dyDescent="0.2">
      <c r="A52" s="94">
        <v>1445</v>
      </c>
      <c r="B52" s="70" t="s">
        <v>49</v>
      </c>
      <c r="C52" s="70"/>
      <c r="D52" s="95"/>
      <c r="E52" s="95"/>
      <c r="F52" s="96"/>
      <c r="G52" s="96"/>
      <c r="H52" s="95"/>
      <c r="I52" s="95">
        <f t="shared" si="8"/>
        <v>0</v>
      </c>
      <c r="J52" s="95"/>
      <c r="K52" s="95"/>
      <c r="L52" s="56"/>
      <c r="M52" s="99"/>
      <c r="N52" s="75"/>
      <c r="O52" s="95"/>
      <c r="P52" s="96"/>
      <c r="Q52" s="96"/>
      <c r="R52" s="76"/>
      <c r="S52" s="95">
        <f t="shared" si="13"/>
        <v>0</v>
      </c>
      <c r="T52" s="76"/>
    </row>
    <row r="53" spans="1:20" x14ac:dyDescent="0.2">
      <c r="A53" s="94">
        <v>1446</v>
      </c>
      <c r="B53" s="70" t="s">
        <v>50</v>
      </c>
      <c r="C53" s="70">
        <v>285</v>
      </c>
      <c r="D53" s="95">
        <f>VLOOKUP(A53,Data!$A$7:$F$130,6,FALSE)</f>
        <v>329</v>
      </c>
      <c r="E53" s="95">
        <f>VLOOKUP(A53,Data!$A$7:$E$130,5,FALSE)</f>
        <v>375</v>
      </c>
      <c r="F53" s="96">
        <f t="shared" si="3"/>
        <v>1.1543859649122807</v>
      </c>
      <c r="G53" s="96">
        <v>1</v>
      </c>
      <c r="H53" s="95">
        <f t="shared" si="14"/>
        <v>375</v>
      </c>
      <c r="I53" s="95">
        <f t="shared" si="8"/>
        <v>-46</v>
      </c>
      <c r="J53" s="95"/>
      <c r="K53" s="95"/>
      <c r="L53" s="56"/>
      <c r="M53" s="99"/>
      <c r="N53" s="75"/>
      <c r="O53" s="95"/>
      <c r="P53" s="96"/>
      <c r="Q53" s="96"/>
      <c r="R53" s="76"/>
      <c r="S53" s="95">
        <f t="shared" si="13"/>
        <v>0</v>
      </c>
      <c r="T53" s="76"/>
    </row>
    <row r="54" spans="1:20" x14ac:dyDescent="0.2">
      <c r="A54" s="94">
        <v>1450</v>
      </c>
      <c r="B54" s="70" t="s">
        <v>141</v>
      </c>
      <c r="C54" s="70">
        <v>1191</v>
      </c>
      <c r="D54" s="95">
        <f>VLOOKUP(A54,Data!$A$7:$F$130,6,FALSE)</f>
        <v>1177</v>
      </c>
      <c r="E54" s="95">
        <f>VLOOKUP(A54,Data!$A$7:$E$130,5,FALSE)</f>
        <v>1583</v>
      </c>
      <c r="F54" s="96">
        <f t="shared" si="3"/>
        <v>0.98824517212426533</v>
      </c>
      <c r="G54" s="96">
        <v>1</v>
      </c>
      <c r="H54" s="95">
        <f t="shared" si="14"/>
        <v>1583</v>
      </c>
      <c r="I54" s="95">
        <f t="shared" si="8"/>
        <v>-406</v>
      </c>
      <c r="J54" s="95"/>
      <c r="K54" s="95"/>
      <c r="L54" s="56"/>
      <c r="M54" s="99"/>
      <c r="N54" s="75"/>
      <c r="O54" s="95"/>
      <c r="P54" s="96"/>
      <c r="Q54" s="96"/>
      <c r="R54" s="76"/>
      <c r="S54" s="95">
        <f t="shared" si="13"/>
        <v>0</v>
      </c>
      <c r="T54" s="76"/>
    </row>
    <row r="55" spans="1:20" x14ac:dyDescent="0.2">
      <c r="A55" s="94">
        <v>1451</v>
      </c>
      <c r="B55" s="70" t="s">
        <v>51</v>
      </c>
      <c r="C55" s="70">
        <v>875</v>
      </c>
      <c r="D55" s="95"/>
      <c r="E55" s="95"/>
      <c r="F55" s="96"/>
      <c r="G55" s="96"/>
      <c r="H55" s="95"/>
      <c r="I55" s="95"/>
      <c r="J55" s="95"/>
      <c r="K55" s="73"/>
      <c r="L55" s="56"/>
      <c r="M55" s="99"/>
      <c r="N55" s="75"/>
      <c r="O55" s="95"/>
      <c r="P55" s="96"/>
      <c r="Q55" s="96"/>
      <c r="R55" s="76"/>
      <c r="S55" s="95">
        <f t="shared" si="13"/>
        <v>0</v>
      </c>
      <c r="T55" s="76"/>
    </row>
    <row r="56" spans="1:20" x14ac:dyDescent="0.2">
      <c r="A56" s="94">
        <v>1452</v>
      </c>
      <c r="B56" s="70" t="s">
        <v>52</v>
      </c>
      <c r="C56" s="70">
        <v>0</v>
      </c>
      <c r="D56" s="95">
        <f>VLOOKUP(A56,Data!$A$7:$F$130,6,FALSE)</f>
        <v>0</v>
      </c>
      <c r="E56" s="95">
        <f>VLOOKUP(A56,Data!$A$7:$E$130,5,FALSE)</f>
        <v>2007</v>
      </c>
      <c r="F56" s="96"/>
      <c r="G56" s="96"/>
      <c r="H56" s="95"/>
      <c r="I56" s="95"/>
      <c r="J56" s="95"/>
      <c r="K56" s="95"/>
      <c r="L56" s="56"/>
      <c r="M56" s="99"/>
      <c r="N56" s="75"/>
      <c r="O56" s="95"/>
      <c r="P56" s="96"/>
      <c r="Q56" s="96"/>
      <c r="R56" s="76"/>
      <c r="S56" s="95">
        <f t="shared" si="13"/>
        <v>0</v>
      </c>
      <c r="T56" s="76"/>
    </row>
    <row r="57" spans="1:20" x14ac:dyDescent="0.2">
      <c r="A57" s="94">
        <v>1453</v>
      </c>
      <c r="B57" s="70" t="s">
        <v>53</v>
      </c>
      <c r="C57" s="70">
        <v>750</v>
      </c>
      <c r="D57" s="95">
        <f>VLOOKUP(A57,Data!$A$7:$F$130,6,FALSE)</f>
        <v>780</v>
      </c>
      <c r="E57" s="95">
        <f>VLOOKUP(A57,Data!$A$7:$E$130,5,FALSE)</f>
        <v>0</v>
      </c>
      <c r="F57" s="96">
        <f t="shared" si="3"/>
        <v>1.04</v>
      </c>
      <c r="G57" s="96">
        <f t="shared" si="3"/>
        <v>0</v>
      </c>
      <c r="H57" s="95"/>
      <c r="I57" s="95"/>
      <c r="J57" s="95"/>
      <c r="K57" s="95"/>
      <c r="L57" s="56"/>
      <c r="M57" s="99"/>
      <c r="N57" s="75"/>
      <c r="O57" s="95"/>
      <c r="P57" s="96"/>
      <c r="Q57" s="96"/>
      <c r="R57" s="76"/>
      <c r="S57" s="95">
        <f t="shared" si="13"/>
        <v>0</v>
      </c>
      <c r="T57" s="76"/>
    </row>
    <row r="58" spans="1:20" x14ac:dyDescent="0.2">
      <c r="A58" s="124">
        <v>1456</v>
      </c>
      <c r="B58" s="125" t="s">
        <v>54</v>
      </c>
      <c r="C58" s="125">
        <v>5448</v>
      </c>
      <c r="D58" s="126">
        <f>VLOOKUP(A58,Data!$A$7:$F$130,6,FALSE)</f>
        <v>5916</v>
      </c>
      <c r="E58" s="126">
        <f>VLOOKUP(A58,Data!$A$7:$E$130,5,FALSE)</f>
        <v>4075</v>
      </c>
      <c r="F58" s="127">
        <f t="shared" si="3"/>
        <v>1.0859030837004404</v>
      </c>
      <c r="G58" s="127">
        <v>0.75</v>
      </c>
      <c r="H58" s="95">
        <f t="shared" si="14"/>
        <v>5433.333333333333</v>
      </c>
      <c r="I58" s="126">
        <f t="shared" si="8"/>
        <v>482.66666666666697</v>
      </c>
      <c r="J58" s="95"/>
      <c r="K58" s="100" t="s">
        <v>302</v>
      </c>
      <c r="L58" s="56"/>
      <c r="M58" s="99"/>
      <c r="N58" s="75"/>
      <c r="O58" s="95"/>
      <c r="P58" s="96"/>
      <c r="Q58" s="96"/>
      <c r="R58" s="76"/>
      <c r="S58" s="95">
        <f t="shared" si="13"/>
        <v>0</v>
      </c>
      <c r="T58" s="76"/>
    </row>
    <row r="59" spans="1:20" x14ac:dyDescent="0.2">
      <c r="A59" s="94">
        <v>1457</v>
      </c>
      <c r="B59" s="70" t="s">
        <v>55</v>
      </c>
      <c r="C59" s="70"/>
      <c r="D59" s="95"/>
      <c r="E59" s="95"/>
      <c r="F59" s="96"/>
      <c r="G59" s="96"/>
      <c r="H59" s="95"/>
      <c r="I59" s="95">
        <f t="shared" si="8"/>
        <v>0</v>
      </c>
      <c r="J59" s="95"/>
      <c r="K59" s="100" t="s">
        <v>304</v>
      </c>
      <c r="L59" s="56"/>
      <c r="M59" s="99"/>
      <c r="N59" s="75"/>
      <c r="O59" s="95"/>
      <c r="P59" s="96"/>
      <c r="Q59" s="96"/>
      <c r="R59" s="76"/>
      <c r="S59" s="95">
        <f t="shared" si="13"/>
        <v>0</v>
      </c>
      <c r="T59" s="76"/>
    </row>
    <row r="60" spans="1:20" x14ac:dyDescent="0.2">
      <c r="A60" s="94">
        <v>1458</v>
      </c>
      <c r="B60" s="70" t="s">
        <v>56</v>
      </c>
      <c r="C60" s="70"/>
      <c r="D60" s="95"/>
      <c r="E60" s="95"/>
      <c r="F60" s="96"/>
      <c r="G60" s="96"/>
      <c r="H60" s="95"/>
      <c r="I60" s="95">
        <f t="shared" si="8"/>
        <v>0</v>
      </c>
      <c r="J60" s="95"/>
      <c r="K60" s="95"/>
      <c r="L60" s="56"/>
      <c r="M60" s="99"/>
      <c r="N60" s="75"/>
      <c r="O60" s="95"/>
      <c r="P60" s="96"/>
      <c r="Q60" s="96"/>
      <c r="R60" s="76"/>
      <c r="S60" s="95">
        <f t="shared" si="13"/>
        <v>0</v>
      </c>
      <c r="T60" s="76"/>
    </row>
    <row r="61" spans="1:20" x14ac:dyDescent="0.2">
      <c r="A61" s="94"/>
      <c r="B61" s="70"/>
      <c r="C61" s="70"/>
      <c r="D61" s="95"/>
      <c r="E61" s="95"/>
      <c r="F61" s="96"/>
      <c r="G61" s="96"/>
      <c r="H61" s="95"/>
      <c r="I61" s="95">
        <f t="shared" si="8"/>
        <v>0</v>
      </c>
      <c r="J61" s="95"/>
      <c r="K61" s="95"/>
      <c r="L61" s="56"/>
      <c r="M61" s="99"/>
      <c r="N61" s="75"/>
      <c r="O61" s="95"/>
      <c r="P61" s="96"/>
      <c r="Q61" s="96"/>
      <c r="R61" s="76"/>
      <c r="S61" s="95">
        <f t="shared" si="13"/>
        <v>0</v>
      </c>
      <c r="T61" s="76"/>
    </row>
    <row r="62" spans="1:20" x14ac:dyDescent="0.2">
      <c r="A62" s="70"/>
      <c r="B62" s="86" t="s">
        <v>57</v>
      </c>
      <c r="C62" s="36">
        <f>SUM(C43:C61)</f>
        <v>25255</v>
      </c>
      <c r="D62" s="35">
        <f t="shared" ref="D62:E62" si="15">SUM(D42:D61)</f>
        <v>23272</v>
      </c>
      <c r="E62" s="35">
        <f t="shared" si="15"/>
        <v>23867</v>
      </c>
      <c r="F62" s="96"/>
      <c r="G62" s="96"/>
      <c r="H62" s="35">
        <f t="shared" ref="H62" si="16">SUM(H42:H61)</f>
        <v>26036.544846050871</v>
      </c>
      <c r="I62" s="95">
        <f t="shared" si="8"/>
        <v>-2764.5448460508705</v>
      </c>
      <c r="J62" s="35"/>
      <c r="K62" s="100"/>
      <c r="L62" s="56"/>
      <c r="M62" s="99"/>
      <c r="N62" s="75"/>
      <c r="O62" s="95"/>
      <c r="P62" s="96"/>
      <c r="Q62" s="96"/>
      <c r="R62" s="76"/>
      <c r="S62" s="95">
        <f t="shared" si="13"/>
        <v>0</v>
      </c>
      <c r="T62" s="76"/>
    </row>
    <row r="63" spans="1:20" x14ac:dyDescent="0.2">
      <c r="A63" s="70"/>
      <c r="B63" s="70"/>
      <c r="C63" s="70"/>
      <c r="D63" s="95"/>
      <c r="E63" s="95"/>
      <c r="F63" s="96"/>
      <c r="G63" s="96"/>
      <c r="H63" s="95"/>
      <c r="I63" s="95">
        <f t="shared" si="8"/>
        <v>0</v>
      </c>
      <c r="J63" s="95"/>
      <c r="K63" s="95"/>
      <c r="L63" s="101"/>
      <c r="M63" s="102"/>
      <c r="N63" s="75"/>
      <c r="O63" s="95"/>
      <c r="P63" s="96"/>
      <c r="Q63" s="96"/>
      <c r="R63" s="76"/>
      <c r="S63" s="95">
        <f t="shared" si="13"/>
        <v>0</v>
      </c>
      <c r="T63" s="76"/>
    </row>
    <row r="64" spans="1:20" x14ac:dyDescent="0.2">
      <c r="A64" s="105">
        <v>106</v>
      </c>
      <c r="B64" s="91" t="s">
        <v>58</v>
      </c>
      <c r="C64" s="70"/>
      <c r="D64" s="95"/>
      <c r="E64" s="95"/>
      <c r="F64" s="96"/>
      <c r="G64" s="96"/>
      <c r="H64" s="95"/>
      <c r="I64" s="95">
        <f t="shared" si="8"/>
        <v>0</v>
      </c>
      <c r="J64" s="95"/>
      <c r="K64" s="95"/>
      <c r="L64" s="56"/>
      <c r="M64" s="99"/>
      <c r="N64" s="75"/>
      <c r="O64" s="95"/>
      <c r="P64" s="96"/>
      <c r="Q64" s="96"/>
      <c r="R64" s="76"/>
      <c r="S64" s="95">
        <f t="shared" si="13"/>
        <v>0</v>
      </c>
      <c r="T64" s="76"/>
    </row>
    <row r="65" spans="1:20" x14ac:dyDescent="0.2">
      <c r="A65" s="94">
        <v>1610</v>
      </c>
      <c r="B65" s="70" t="s">
        <v>59</v>
      </c>
      <c r="C65" s="70">
        <v>899</v>
      </c>
      <c r="D65" s="95">
        <f>VLOOKUP(A65,Data!$A$7:$F$130,6,FALSE)</f>
        <v>1032</v>
      </c>
      <c r="E65" s="95">
        <f>VLOOKUP(A65,Data!$A$7:$E$130,5,FALSE)</f>
        <v>992</v>
      </c>
      <c r="F65" s="96">
        <v>1</v>
      </c>
      <c r="G65" s="96">
        <v>1</v>
      </c>
      <c r="H65" s="95">
        <f t="shared" ref="H65:H71" si="17">+E65/G65</f>
        <v>992</v>
      </c>
      <c r="I65" s="95">
        <f t="shared" si="8"/>
        <v>40</v>
      </c>
      <c r="J65" s="95"/>
      <c r="K65" s="95"/>
      <c r="L65" s="56"/>
      <c r="M65" s="99"/>
      <c r="N65" s="75"/>
      <c r="O65" s="95"/>
      <c r="P65" s="96"/>
      <c r="Q65" s="96"/>
      <c r="R65" s="76"/>
      <c r="S65" s="95">
        <f t="shared" si="13"/>
        <v>0</v>
      </c>
      <c r="T65" s="76"/>
    </row>
    <row r="66" spans="1:20" x14ac:dyDescent="0.2">
      <c r="A66" s="94">
        <v>1611</v>
      </c>
      <c r="B66" s="70" t="s">
        <v>60</v>
      </c>
      <c r="C66" s="70"/>
      <c r="D66" s="95"/>
      <c r="E66" s="95"/>
      <c r="F66" s="96"/>
      <c r="G66" s="96"/>
      <c r="H66" s="95"/>
      <c r="I66" s="95">
        <f t="shared" si="8"/>
        <v>0</v>
      </c>
      <c r="J66" s="95"/>
      <c r="K66" s="95"/>
      <c r="L66" s="78"/>
      <c r="M66" s="74"/>
      <c r="N66" s="75"/>
      <c r="O66" s="95"/>
      <c r="P66" s="96"/>
      <c r="Q66" s="96"/>
      <c r="R66" s="76"/>
      <c r="S66" s="95">
        <f t="shared" si="13"/>
        <v>0</v>
      </c>
      <c r="T66" s="76"/>
    </row>
    <row r="67" spans="1:20" x14ac:dyDescent="0.2">
      <c r="A67" s="94">
        <v>1612</v>
      </c>
      <c r="B67" s="70" t="s">
        <v>61</v>
      </c>
      <c r="C67" s="70">
        <v>1386</v>
      </c>
      <c r="D67" s="95">
        <f>VLOOKUP(A67,Data!$A$7:$F$130,6,FALSE)</f>
        <v>1086</v>
      </c>
      <c r="E67" s="95">
        <f>VLOOKUP(A67,Data!$A$7:$E$130,5,FALSE)</f>
        <v>1365</v>
      </c>
      <c r="F67" s="96">
        <f t="shared" si="3"/>
        <v>0.78354978354978355</v>
      </c>
      <c r="G67" s="96">
        <v>0.83</v>
      </c>
      <c r="H67" s="95">
        <f t="shared" si="17"/>
        <v>1644.5783132530121</v>
      </c>
      <c r="I67" s="95">
        <f t="shared" si="8"/>
        <v>-558.57831325301208</v>
      </c>
      <c r="J67" s="95"/>
      <c r="K67" s="95"/>
      <c r="L67" s="106"/>
      <c r="M67" s="99"/>
      <c r="N67" s="75"/>
      <c r="O67" s="95"/>
      <c r="P67" s="96"/>
      <c r="Q67" s="96"/>
      <c r="R67" s="76"/>
      <c r="S67" s="95">
        <f t="shared" si="13"/>
        <v>0</v>
      </c>
      <c r="T67" s="76"/>
    </row>
    <row r="68" spans="1:20" x14ac:dyDescent="0.2">
      <c r="A68" s="94">
        <v>1614</v>
      </c>
      <c r="B68" s="70" t="s">
        <v>62</v>
      </c>
      <c r="C68" s="70">
        <v>552</v>
      </c>
      <c r="D68" s="95">
        <f>VLOOKUP(A68,Data!$A$7:$F$130,6,FALSE)</f>
        <v>574</v>
      </c>
      <c r="E68" s="95">
        <f>VLOOKUP(A68,Data!$A$7:$E$130,5,FALSE)</f>
        <v>196</v>
      </c>
      <c r="F68" s="96">
        <v>0.83</v>
      </c>
      <c r="G68" s="96">
        <v>0.83</v>
      </c>
      <c r="H68" s="95">
        <f t="shared" si="17"/>
        <v>236.14457831325302</v>
      </c>
      <c r="I68" s="95">
        <f t="shared" si="8"/>
        <v>337.85542168674698</v>
      </c>
      <c r="J68" s="95"/>
      <c r="K68" s="95"/>
      <c r="L68" s="56"/>
      <c r="M68" s="99"/>
      <c r="N68" s="75"/>
      <c r="O68" s="95"/>
      <c r="P68" s="96"/>
      <c r="Q68" s="96"/>
      <c r="R68" s="76"/>
      <c r="S68" s="95">
        <f t="shared" si="13"/>
        <v>0</v>
      </c>
      <c r="T68" s="76"/>
    </row>
    <row r="69" spans="1:20" x14ac:dyDescent="0.2">
      <c r="A69" s="94">
        <v>1616</v>
      </c>
      <c r="B69" s="70" t="s">
        <v>63</v>
      </c>
      <c r="C69" s="70">
        <v>1471</v>
      </c>
      <c r="D69" s="95">
        <f>VLOOKUP(A69,Data!$A$7:$F$130,6,FALSE)</f>
        <v>1462</v>
      </c>
      <c r="E69" s="95">
        <f>VLOOKUP(A69,Data!$A$7:$E$130,5,FALSE)</f>
        <v>1230</v>
      </c>
      <c r="F69" s="96">
        <f t="shared" si="3"/>
        <v>0.99388171312032636</v>
      </c>
      <c r="G69" s="96">
        <f t="shared" si="3"/>
        <v>0.841313269493844</v>
      </c>
      <c r="H69" s="95">
        <f t="shared" si="17"/>
        <v>1462</v>
      </c>
      <c r="I69" s="95">
        <f t="shared" si="8"/>
        <v>0</v>
      </c>
      <c r="J69" s="95"/>
      <c r="K69" s="95"/>
      <c r="L69" s="56"/>
      <c r="M69" s="99"/>
      <c r="N69" s="75"/>
      <c r="O69" s="95"/>
      <c r="P69" s="96"/>
      <c r="Q69" s="96"/>
      <c r="R69" s="76"/>
      <c r="S69" s="95">
        <f t="shared" si="13"/>
        <v>0</v>
      </c>
      <c r="T69" s="76"/>
    </row>
    <row r="70" spans="1:20" x14ac:dyDescent="0.2">
      <c r="A70" s="94">
        <v>1638</v>
      </c>
      <c r="B70" s="70" t="s">
        <v>64</v>
      </c>
      <c r="C70" s="70">
        <v>6184</v>
      </c>
      <c r="D70" s="95">
        <f>VLOOKUP(A70,Data!$A$7:$F$130,6,FALSE)</f>
        <v>7569</v>
      </c>
      <c r="E70" s="95">
        <f>VLOOKUP(A70,Data!$A$7:$E$130,5,FALSE)</f>
        <v>5916</v>
      </c>
      <c r="F70" s="96">
        <v>0.83</v>
      </c>
      <c r="G70" s="96">
        <v>0.83</v>
      </c>
      <c r="H70" s="95">
        <f t="shared" si="17"/>
        <v>7127.7108433734948</v>
      </c>
      <c r="I70" s="95">
        <f>+D70-H70</f>
        <v>441.28915662650525</v>
      </c>
      <c r="J70" s="95"/>
      <c r="K70" s="107"/>
      <c r="L70" s="56"/>
      <c r="M70" s="99"/>
      <c r="N70" s="75"/>
      <c r="O70" s="95"/>
      <c r="P70" s="96"/>
      <c r="Q70" s="96"/>
      <c r="R70" s="76"/>
      <c r="S70" s="95">
        <f t="shared" si="13"/>
        <v>0</v>
      </c>
      <c r="T70" s="76"/>
    </row>
    <row r="71" spans="1:20" x14ac:dyDescent="0.2">
      <c r="A71" s="94">
        <v>1639</v>
      </c>
      <c r="B71" s="70" t="s">
        <v>65</v>
      </c>
      <c r="C71" s="70">
        <v>50</v>
      </c>
      <c r="D71" s="95">
        <f>VLOOKUP(A71,Data!$A$7:$F$130,6,FALSE)</f>
        <v>750</v>
      </c>
      <c r="E71" s="95">
        <f>VLOOKUP(A71,Data!$A$7:$E$130,5,FALSE)</f>
        <v>892</v>
      </c>
      <c r="F71" s="96">
        <f t="shared" si="3"/>
        <v>15</v>
      </c>
      <c r="G71" s="96">
        <f t="shared" si="3"/>
        <v>1.1893333333333334</v>
      </c>
      <c r="H71" s="95">
        <f t="shared" si="17"/>
        <v>750</v>
      </c>
      <c r="I71" s="95">
        <f t="shared" ref="I71:I101" si="18">+D71-H71</f>
        <v>0</v>
      </c>
      <c r="J71" s="95"/>
      <c r="K71" s="107" t="s">
        <v>241</v>
      </c>
      <c r="L71" s="56"/>
      <c r="M71" s="99"/>
      <c r="N71" s="75"/>
      <c r="O71" s="95"/>
      <c r="P71" s="96"/>
      <c r="Q71" s="96"/>
      <c r="R71" s="76"/>
      <c r="S71" s="95">
        <f t="shared" si="13"/>
        <v>0</v>
      </c>
      <c r="T71" s="76"/>
    </row>
    <row r="72" spans="1:20" x14ac:dyDescent="0.2">
      <c r="A72" s="94"/>
      <c r="B72" s="86" t="s">
        <v>58</v>
      </c>
      <c r="C72" s="35">
        <f>SUM(C65:C71)</f>
        <v>10542</v>
      </c>
      <c r="D72" s="35">
        <f>SUM(D65:D71)</f>
        <v>12473</v>
      </c>
      <c r="E72" s="35">
        <f>SUM(E65:E71)</f>
        <v>10591</v>
      </c>
      <c r="F72" s="96">
        <f t="shared" ref="F72:G118" si="19">+D72/C72</f>
        <v>1.1831720736103206</v>
      </c>
      <c r="G72" s="96">
        <f t="shared" si="19"/>
        <v>0.84911408642668162</v>
      </c>
      <c r="H72" s="35">
        <f>SUM(H65:H71)</f>
        <v>12212.433734939761</v>
      </c>
      <c r="I72" s="95">
        <f t="shared" si="18"/>
        <v>260.56626506023895</v>
      </c>
      <c r="J72" s="35"/>
      <c r="K72" s="100"/>
      <c r="L72" s="56"/>
      <c r="M72" s="99"/>
      <c r="N72" s="75"/>
      <c r="O72" s="95"/>
      <c r="P72" s="96"/>
      <c r="Q72" s="96"/>
      <c r="R72" s="76"/>
      <c r="S72" s="95">
        <f t="shared" si="13"/>
        <v>0</v>
      </c>
      <c r="T72" s="76"/>
    </row>
    <row r="73" spans="1:20" x14ac:dyDescent="0.2">
      <c r="A73" s="94"/>
      <c r="B73" s="86"/>
      <c r="C73" s="70"/>
      <c r="D73" s="95"/>
      <c r="E73" s="95"/>
      <c r="F73" s="96"/>
      <c r="G73" s="96"/>
      <c r="H73" s="95"/>
      <c r="I73" s="95">
        <f t="shared" si="18"/>
        <v>0</v>
      </c>
      <c r="J73" s="95"/>
      <c r="K73" s="95"/>
      <c r="L73" s="101"/>
      <c r="M73" s="102"/>
      <c r="N73" s="75"/>
      <c r="O73" s="95"/>
      <c r="P73" s="96"/>
      <c r="Q73" s="96"/>
      <c r="R73" s="76"/>
      <c r="S73" s="95">
        <f t="shared" si="13"/>
        <v>0</v>
      </c>
      <c r="T73" s="76"/>
    </row>
    <row r="74" spans="1:20" x14ac:dyDescent="0.2">
      <c r="A74" s="91">
        <v>107</v>
      </c>
      <c r="B74" s="86" t="s">
        <v>66</v>
      </c>
      <c r="C74" s="70"/>
      <c r="D74" s="95"/>
      <c r="E74" s="95"/>
      <c r="F74" s="96"/>
      <c r="G74" s="96"/>
      <c r="H74" s="95"/>
      <c r="I74" s="95">
        <f t="shared" si="18"/>
        <v>0</v>
      </c>
      <c r="J74" s="95"/>
      <c r="K74" s="95"/>
      <c r="L74" s="101"/>
      <c r="M74" s="102"/>
      <c r="N74" s="75"/>
      <c r="O74" s="95"/>
      <c r="P74" s="96"/>
      <c r="Q74" s="96"/>
      <c r="R74" s="76"/>
      <c r="S74" s="95">
        <f t="shared" ref="S74:S105" si="20">+R74-N74</f>
        <v>0</v>
      </c>
      <c r="T74" s="76"/>
    </row>
    <row r="75" spans="1:20" x14ac:dyDescent="0.2">
      <c r="A75" s="70">
        <v>1701</v>
      </c>
      <c r="B75" s="70" t="s">
        <v>142</v>
      </c>
      <c r="C75" s="70">
        <v>2256</v>
      </c>
      <c r="D75" s="95">
        <f>VLOOKUP(A75,Data!$A$7:$F$130,6,FALSE)</f>
        <v>3573</v>
      </c>
      <c r="E75" s="95">
        <f>VLOOKUP(A75,Data!$A$7:$E$130,5,FALSE)</f>
        <v>1209</v>
      </c>
      <c r="F75" s="96">
        <v>0.83</v>
      </c>
      <c r="G75" s="96">
        <v>0.83</v>
      </c>
      <c r="H75" s="95">
        <f t="shared" ref="H75:H80" si="21">+E75/G75</f>
        <v>1456.6265060240964</v>
      </c>
      <c r="I75" s="95">
        <f t="shared" si="18"/>
        <v>2116.3734939759033</v>
      </c>
      <c r="J75" s="95"/>
      <c r="K75" s="95" t="s">
        <v>292</v>
      </c>
      <c r="L75" s="101"/>
      <c r="M75" s="102"/>
      <c r="N75" s="75"/>
      <c r="O75" s="95"/>
      <c r="P75" s="96"/>
      <c r="Q75" s="96"/>
      <c r="R75" s="76"/>
      <c r="S75" s="95">
        <f t="shared" si="20"/>
        <v>0</v>
      </c>
      <c r="T75" s="76"/>
    </row>
    <row r="76" spans="1:20" x14ac:dyDescent="0.2">
      <c r="A76" s="70">
        <v>1703</v>
      </c>
      <c r="B76" s="70" t="s">
        <v>68</v>
      </c>
      <c r="C76" s="70">
        <v>0</v>
      </c>
      <c r="D76" s="95">
        <f>VLOOKUP(A76,Data!$A$7:$F$130,6,FALSE)</f>
        <v>2000</v>
      </c>
      <c r="E76" s="95">
        <f>VLOOKUP(A76,Data!$A$7:$E$130,5,FALSE)</f>
        <v>1001</v>
      </c>
      <c r="F76" s="96">
        <v>0.75</v>
      </c>
      <c r="G76" s="96">
        <v>0.75</v>
      </c>
      <c r="H76" s="95">
        <f t="shared" si="21"/>
        <v>1334.6666666666667</v>
      </c>
      <c r="I76" s="95">
        <f t="shared" si="18"/>
        <v>665.33333333333326</v>
      </c>
      <c r="J76" s="95"/>
      <c r="K76" s="95" t="s">
        <v>277</v>
      </c>
      <c r="L76" s="106">
        <v>1720</v>
      </c>
      <c r="M76" s="99" t="s">
        <v>67</v>
      </c>
      <c r="N76" s="75">
        <v>13997</v>
      </c>
      <c r="O76" s="95">
        <f>VLOOKUP($L76,Data!$A$7:$E$93,5,FALSE)</f>
        <v>14450</v>
      </c>
      <c r="P76" s="96">
        <v>1</v>
      </c>
      <c r="Q76" s="96">
        <f>+O76/N76</f>
        <v>1.0323640780167178</v>
      </c>
      <c r="R76" s="110">
        <f>+O76/P76-1700</f>
        <v>12750</v>
      </c>
      <c r="S76" s="95">
        <f t="shared" si="20"/>
        <v>-1247</v>
      </c>
      <c r="T76" s="110"/>
    </row>
    <row r="77" spans="1:20" x14ac:dyDescent="0.2">
      <c r="A77" s="70">
        <v>1706</v>
      </c>
      <c r="B77" s="70" t="s">
        <v>62</v>
      </c>
      <c r="C77" s="70">
        <v>365</v>
      </c>
      <c r="D77" s="95">
        <f>VLOOKUP(A77,Data!$A$7:$F$130,6,FALSE)</f>
        <v>198</v>
      </c>
      <c r="E77" s="95">
        <f>VLOOKUP(A77,Data!$A$7:$E$130,5,FALSE)</f>
        <v>347</v>
      </c>
      <c r="F77" s="96">
        <v>0.83</v>
      </c>
      <c r="G77" s="96">
        <v>0.83</v>
      </c>
      <c r="H77" s="95">
        <f t="shared" si="21"/>
        <v>418.07228915662654</v>
      </c>
      <c r="I77" s="95">
        <f t="shared" si="18"/>
        <v>-220.07228915662654</v>
      </c>
      <c r="J77" s="95"/>
      <c r="K77" s="95"/>
      <c r="L77" s="106">
        <v>1721</v>
      </c>
      <c r="M77" s="99" t="s">
        <v>69</v>
      </c>
      <c r="N77" s="75">
        <v>2583</v>
      </c>
      <c r="O77" s="95">
        <f>VLOOKUP($L77,Data!$A$7:$E$93,5,FALSE)</f>
        <v>1490</v>
      </c>
      <c r="P77" s="96">
        <v>0.9</v>
      </c>
      <c r="Q77" s="96">
        <f t="shared" ref="Q77:Q78" si="22">+O77/N77</f>
        <v>0.57684862562911343</v>
      </c>
      <c r="R77" s="110">
        <f>+O77/P77</f>
        <v>1655.5555555555554</v>
      </c>
      <c r="S77" s="95">
        <f t="shared" si="20"/>
        <v>-927.44444444444457</v>
      </c>
      <c r="T77" s="110"/>
    </row>
    <row r="78" spans="1:20" x14ac:dyDescent="0.2">
      <c r="A78" s="70">
        <v>1707</v>
      </c>
      <c r="B78" s="70" t="s">
        <v>71</v>
      </c>
      <c r="C78" s="70">
        <v>414</v>
      </c>
      <c r="D78" s="95">
        <f>VLOOKUP(A78,Data!$A$7:$F$130,6,FALSE)</f>
        <v>626</v>
      </c>
      <c r="E78" s="95">
        <f>VLOOKUP(A78,Data!$A$7:$E$130,5,FALSE)</f>
        <v>1292</v>
      </c>
      <c r="F78" s="96">
        <v>0.83</v>
      </c>
      <c r="G78" s="96">
        <v>0.83</v>
      </c>
      <c r="H78" s="95">
        <f t="shared" si="21"/>
        <v>1556.6265060240964</v>
      </c>
      <c r="I78" s="95">
        <f t="shared" si="18"/>
        <v>-930.62650602409644</v>
      </c>
      <c r="J78" s="95"/>
      <c r="K78" s="95"/>
      <c r="L78" s="106">
        <v>1723</v>
      </c>
      <c r="M78" s="99" t="s">
        <v>70</v>
      </c>
      <c r="N78" s="75">
        <v>2600</v>
      </c>
      <c r="O78" s="95">
        <f>VLOOKUP($L78,Data!$A$7:$E$93,5,FALSE)</f>
        <v>4005</v>
      </c>
      <c r="P78" s="96">
        <v>0.98</v>
      </c>
      <c r="Q78" s="96">
        <f t="shared" si="22"/>
        <v>1.5403846153846155</v>
      </c>
      <c r="R78" s="110">
        <f>+O78/P78</f>
        <v>4086.7346938775513</v>
      </c>
      <c r="S78" s="95">
        <f t="shared" si="20"/>
        <v>1486.7346938775513</v>
      </c>
      <c r="T78" s="110"/>
    </row>
    <row r="79" spans="1:20" x14ac:dyDescent="0.2">
      <c r="A79" s="70">
        <v>1708</v>
      </c>
      <c r="B79" s="70" t="s">
        <v>143</v>
      </c>
      <c r="C79" s="70">
        <v>2919</v>
      </c>
      <c r="D79" s="95">
        <f>VLOOKUP(A79,Data!$A$7:$F$130,6,FALSE)</f>
        <v>1453</v>
      </c>
      <c r="E79" s="95">
        <f>VLOOKUP(A79,Data!$A$7:$E$130,5,FALSE)</f>
        <v>1397</v>
      </c>
      <c r="F79" s="96">
        <v>1</v>
      </c>
      <c r="G79" s="96">
        <v>1</v>
      </c>
      <c r="H79" s="95">
        <f t="shared" si="21"/>
        <v>1397</v>
      </c>
      <c r="I79" s="95">
        <f t="shared" si="18"/>
        <v>56</v>
      </c>
      <c r="J79" s="95"/>
      <c r="K79" s="95"/>
      <c r="L79" s="101"/>
      <c r="M79" s="102"/>
      <c r="N79" s="75"/>
      <c r="O79" s="95"/>
      <c r="P79" s="96"/>
      <c r="Q79" s="96"/>
      <c r="R79" s="76"/>
      <c r="S79" s="95">
        <f t="shared" si="20"/>
        <v>0</v>
      </c>
      <c r="T79" s="76"/>
    </row>
    <row r="80" spans="1:20" x14ac:dyDescent="0.2">
      <c r="A80" s="70">
        <v>1709</v>
      </c>
      <c r="B80" s="70" t="s">
        <v>144</v>
      </c>
      <c r="C80" s="70">
        <v>4727</v>
      </c>
      <c r="D80" s="95">
        <f>VLOOKUP(A80,Data!$A$7:$F$130,6,FALSE)</f>
        <v>1071</v>
      </c>
      <c r="E80" s="95">
        <f>VLOOKUP(A80,Data!$A$7:$E$130,5,FALSE)</f>
        <v>921</v>
      </c>
      <c r="F80" s="96">
        <f t="shared" si="19"/>
        <v>0.22657076369790566</v>
      </c>
      <c r="G80" s="96">
        <v>0.86</v>
      </c>
      <c r="H80" s="95">
        <f t="shared" si="21"/>
        <v>1070.9302325581396</v>
      </c>
      <c r="I80" s="95">
        <f t="shared" si="18"/>
        <v>6.9767441860449253E-2</v>
      </c>
      <c r="J80" s="95"/>
      <c r="K80" s="95"/>
      <c r="L80" s="101"/>
      <c r="M80" s="102"/>
      <c r="N80" s="75"/>
      <c r="O80" s="95"/>
      <c r="P80" s="96"/>
      <c r="Q80" s="96"/>
      <c r="R80" s="76"/>
      <c r="S80" s="95">
        <f t="shared" si="20"/>
        <v>0</v>
      </c>
      <c r="T80" s="76"/>
    </row>
    <row r="81" spans="1:21" x14ac:dyDescent="0.2">
      <c r="A81" s="70"/>
      <c r="B81" s="70"/>
      <c r="C81" s="70"/>
      <c r="D81" s="95"/>
      <c r="E81" s="95"/>
      <c r="F81" s="96"/>
      <c r="G81" s="96"/>
      <c r="H81" s="95"/>
      <c r="I81" s="95">
        <f t="shared" si="18"/>
        <v>0</v>
      </c>
      <c r="J81" s="95"/>
      <c r="K81" s="95"/>
      <c r="L81" s="101"/>
      <c r="M81" s="74"/>
      <c r="N81" s="75"/>
      <c r="O81" s="95"/>
      <c r="P81" s="96"/>
      <c r="Q81" s="96"/>
      <c r="R81" s="76"/>
      <c r="S81" s="95">
        <f t="shared" si="20"/>
        <v>0</v>
      </c>
      <c r="T81" s="76"/>
    </row>
    <row r="82" spans="1:21" x14ac:dyDescent="0.2">
      <c r="A82" s="70"/>
      <c r="B82" s="86" t="s">
        <v>72</v>
      </c>
      <c r="C82" s="36">
        <f>SUM(C75:C81)</f>
        <v>10681</v>
      </c>
      <c r="D82" s="35">
        <f>SUM(D74:D81)</f>
        <v>8921</v>
      </c>
      <c r="E82" s="35">
        <f>SUM(E74:E81)</f>
        <v>6167</v>
      </c>
      <c r="F82" s="96">
        <f t="shared" si="19"/>
        <v>0.83522142121524201</v>
      </c>
      <c r="G82" s="96">
        <f t="shared" si="19"/>
        <v>0.69129021410155811</v>
      </c>
      <c r="H82" s="35">
        <f>SUM(H74:H81)</f>
        <v>7233.9222004296253</v>
      </c>
      <c r="I82" s="95">
        <f t="shared" si="18"/>
        <v>1687.0777995703747</v>
      </c>
      <c r="J82" s="35"/>
      <c r="K82" s="100"/>
      <c r="L82" s="70"/>
      <c r="M82" s="74"/>
      <c r="N82" s="75"/>
      <c r="O82" s="95"/>
      <c r="P82" s="96"/>
      <c r="Q82" s="96"/>
      <c r="R82" s="76"/>
      <c r="S82" s="95">
        <f t="shared" si="20"/>
        <v>0</v>
      </c>
      <c r="T82" s="76"/>
    </row>
    <row r="83" spans="1:21" x14ac:dyDescent="0.2">
      <c r="A83" s="70"/>
      <c r="B83" s="86"/>
      <c r="C83" s="70"/>
      <c r="D83" s="95"/>
      <c r="E83" s="95"/>
      <c r="F83" s="96"/>
      <c r="G83" s="96"/>
      <c r="H83" s="95"/>
      <c r="I83" s="95">
        <f t="shared" si="18"/>
        <v>0</v>
      </c>
      <c r="J83" s="95"/>
      <c r="K83" s="95"/>
      <c r="L83" s="101"/>
      <c r="M83" s="102"/>
      <c r="N83" s="108">
        <f>SUM(N76:N82)</f>
        <v>19180</v>
      </c>
      <c r="O83" s="108">
        <f t="shared" ref="O83" si="23">SUM(O76:O82)</f>
        <v>19945</v>
      </c>
      <c r="P83" s="37"/>
      <c r="Q83" s="37"/>
      <c r="R83" s="108">
        <f t="shared" ref="R83" si="24">SUM(R76:R82)</f>
        <v>18492.290249433107</v>
      </c>
      <c r="S83" s="95">
        <f t="shared" si="20"/>
        <v>-687.70975056689349</v>
      </c>
      <c r="T83" s="108"/>
    </row>
    <row r="84" spans="1:21" x14ac:dyDescent="0.2">
      <c r="A84" s="91">
        <v>108</v>
      </c>
      <c r="B84" s="91" t="s">
        <v>73</v>
      </c>
      <c r="C84" s="70"/>
      <c r="D84" s="95"/>
      <c r="E84" s="95"/>
      <c r="F84" s="96"/>
      <c r="G84" s="96"/>
      <c r="H84" s="95"/>
      <c r="I84" s="95">
        <f t="shared" si="18"/>
        <v>0</v>
      </c>
      <c r="J84" s="95"/>
      <c r="K84" s="95"/>
      <c r="L84" s="101"/>
      <c r="M84" s="102"/>
      <c r="N84" s="75"/>
      <c r="O84" s="95"/>
      <c r="P84" s="96"/>
      <c r="Q84" s="96"/>
      <c r="R84" s="76"/>
      <c r="S84" s="95">
        <f t="shared" si="20"/>
        <v>0</v>
      </c>
      <c r="T84" s="76"/>
    </row>
    <row r="85" spans="1:21" x14ac:dyDescent="0.2">
      <c r="A85" s="70"/>
      <c r="B85" s="70"/>
      <c r="C85" s="70"/>
      <c r="D85" s="95"/>
      <c r="E85" s="95"/>
      <c r="F85" s="96"/>
      <c r="G85" s="96"/>
      <c r="H85" s="95"/>
      <c r="I85" s="95">
        <f t="shared" si="18"/>
        <v>0</v>
      </c>
      <c r="J85" s="95"/>
      <c r="K85" s="95"/>
      <c r="L85" s="101"/>
      <c r="M85" s="102"/>
      <c r="N85" s="75"/>
      <c r="O85" s="95"/>
      <c r="P85" s="96"/>
      <c r="Q85" s="96"/>
      <c r="R85" s="76"/>
      <c r="S85" s="95">
        <f t="shared" si="20"/>
        <v>0</v>
      </c>
      <c r="T85" s="76"/>
    </row>
    <row r="86" spans="1:21" x14ac:dyDescent="0.2">
      <c r="A86" s="70">
        <v>1802</v>
      </c>
      <c r="B86" s="70" t="s">
        <v>74</v>
      </c>
      <c r="C86" s="70"/>
      <c r="D86" s="95"/>
      <c r="E86" s="95"/>
      <c r="F86" s="96"/>
      <c r="G86" s="96"/>
      <c r="H86" s="95"/>
      <c r="I86" s="95">
        <f t="shared" si="18"/>
        <v>0</v>
      </c>
      <c r="J86" s="95"/>
      <c r="K86" s="95"/>
      <c r="L86" s="70"/>
      <c r="M86" s="74"/>
      <c r="N86" s="75"/>
      <c r="O86" s="95"/>
      <c r="P86" s="96"/>
      <c r="Q86" s="96"/>
      <c r="R86" s="76"/>
      <c r="S86" s="95">
        <f t="shared" si="20"/>
        <v>0</v>
      </c>
      <c r="T86" s="76"/>
    </row>
    <row r="87" spans="1:21" x14ac:dyDescent="0.2">
      <c r="A87" s="70">
        <v>1803</v>
      </c>
      <c r="B87" s="70" t="s">
        <v>76</v>
      </c>
      <c r="C87" s="70"/>
      <c r="D87" s="95"/>
      <c r="E87" s="95"/>
      <c r="F87" s="96"/>
      <c r="G87" s="96"/>
      <c r="H87" s="95"/>
      <c r="I87" s="95">
        <f t="shared" si="18"/>
        <v>0</v>
      </c>
      <c r="J87" s="95"/>
      <c r="K87" s="95"/>
      <c r="L87" s="106">
        <v>1820</v>
      </c>
      <c r="M87" s="99" t="s">
        <v>75</v>
      </c>
      <c r="N87" s="75">
        <v>53317</v>
      </c>
      <c r="O87" s="95">
        <f>VLOOKUP($L87,Data!$A$7:$E$130,5,FALSE)</f>
        <v>53795</v>
      </c>
      <c r="P87" s="96">
        <v>0.9</v>
      </c>
      <c r="Q87" s="96">
        <f>+O87/N87</f>
        <v>1.0089652456064671</v>
      </c>
      <c r="R87" s="110">
        <f>+O87/P87</f>
        <v>59772.222222222219</v>
      </c>
      <c r="S87" s="95">
        <f t="shared" si="20"/>
        <v>6455.222222222219</v>
      </c>
      <c r="T87" s="110"/>
    </row>
    <row r="88" spans="1:21" x14ac:dyDescent="0.2">
      <c r="A88" s="70">
        <v>1804</v>
      </c>
      <c r="B88" s="70" t="s">
        <v>78</v>
      </c>
      <c r="C88" s="70">
        <v>2016</v>
      </c>
      <c r="D88" s="95">
        <f>VLOOKUP(A88,Data!$A$7:$F$130,6,FALSE)</f>
        <v>2546</v>
      </c>
      <c r="E88" s="95">
        <f>VLOOKUP(A88,Data!$A$7:$E$130,5,FALSE)</f>
        <v>1354</v>
      </c>
      <c r="F88" s="96">
        <f t="shared" si="19"/>
        <v>1.2628968253968254</v>
      </c>
      <c r="G88" s="96">
        <v>0.6</v>
      </c>
      <c r="H88" s="95">
        <f t="shared" ref="H88:H95" si="25">+E88/G88</f>
        <v>2256.666666666667</v>
      </c>
      <c r="I88" s="95">
        <f t="shared" si="18"/>
        <v>289.33333333333303</v>
      </c>
      <c r="J88" s="95"/>
      <c r="K88" s="95"/>
      <c r="L88" s="106">
        <v>1821</v>
      </c>
      <c r="M88" s="99" t="s">
        <v>77</v>
      </c>
      <c r="N88" s="75">
        <v>6662</v>
      </c>
      <c r="O88" s="95">
        <f>VLOOKUP($L88,Data!$A$7:$E$130,5,FALSE)</f>
        <v>8290</v>
      </c>
      <c r="P88" s="96">
        <v>0.9</v>
      </c>
      <c r="Q88" s="96">
        <f t="shared" ref="Q88:Q91" si="26">+O88/N88</f>
        <v>1.2443710597418192</v>
      </c>
      <c r="R88" s="110">
        <f>+O88/P88</f>
        <v>9211.1111111111113</v>
      </c>
      <c r="S88" s="95">
        <f t="shared" si="20"/>
        <v>2549.1111111111113</v>
      </c>
      <c r="T88" s="110"/>
      <c r="U88" s="39"/>
    </row>
    <row r="89" spans="1:21" x14ac:dyDescent="0.2">
      <c r="A89" s="70">
        <v>1805</v>
      </c>
      <c r="B89" s="70" t="s">
        <v>145</v>
      </c>
      <c r="C89" s="70">
        <v>6796</v>
      </c>
      <c r="D89" s="95">
        <f>VLOOKUP(A89,Data!$A$7:$F$130,6,FALSE)</f>
        <v>6796</v>
      </c>
      <c r="E89" s="95">
        <f>VLOOKUP(A89,Data!$A$7:$E$130,5,FALSE)</f>
        <v>0</v>
      </c>
      <c r="F89" s="96">
        <f t="shared" si="19"/>
        <v>1</v>
      </c>
      <c r="G89" s="96">
        <f t="shared" si="19"/>
        <v>0</v>
      </c>
      <c r="H89" s="95"/>
      <c r="I89" s="95">
        <f t="shared" si="18"/>
        <v>6796</v>
      </c>
      <c r="J89" s="95"/>
      <c r="K89" s="107" t="s">
        <v>293</v>
      </c>
      <c r="L89" s="106">
        <v>1855</v>
      </c>
      <c r="M89" s="99" t="s">
        <v>79</v>
      </c>
      <c r="N89" s="75">
        <v>300</v>
      </c>
      <c r="O89" s="95">
        <f>VLOOKUP($L89,Data!$A$7:$E$130,5,FALSE)</f>
        <v>450</v>
      </c>
      <c r="P89" s="96">
        <v>1</v>
      </c>
      <c r="Q89" s="96">
        <f t="shared" si="26"/>
        <v>1.5</v>
      </c>
      <c r="R89" s="110">
        <f>+O89/P89</f>
        <v>450</v>
      </c>
      <c r="S89" s="95">
        <f t="shared" si="20"/>
        <v>150</v>
      </c>
      <c r="T89" s="110"/>
      <c r="U89" s="39"/>
    </row>
    <row r="90" spans="1:21" s="134" customFormat="1" x14ac:dyDescent="0.2">
      <c r="A90" s="125">
        <v>1807</v>
      </c>
      <c r="B90" s="125" t="s">
        <v>65</v>
      </c>
      <c r="C90" s="125">
        <v>451</v>
      </c>
      <c r="D90" s="126">
        <f>VLOOKUP(A90,Data!$A$7:$F$130,6,FALSE)</f>
        <v>250</v>
      </c>
      <c r="E90" s="126">
        <f>VLOOKUP(A90,Data!$A$7:$E$130,5,FALSE)</f>
        <v>2020</v>
      </c>
      <c r="F90" s="127">
        <f t="shared" si="19"/>
        <v>0.55432372505543237</v>
      </c>
      <c r="G90" s="127">
        <f t="shared" si="19"/>
        <v>8.08</v>
      </c>
      <c r="H90" s="126">
        <f t="shared" si="25"/>
        <v>250</v>
      </c>
      <c r="I90" s="126">
        <f t="shared" si="18"/>
        <v>0</v>
      </c>
      <c r="J90" s="126"/>
      <c r="K90" s="126"/>
      <c r="L90" s="129">
        <v>1823</v>
      </c>
      <c r="M90" s="130" t="s">
        <v>80</v>
      </c>
      <c r="N90" s="131">
        <v>2400</v>
      </c>
      <c r="O90" s="95">
        <f>VLOOKUP($L90,Data!$A$7:$E$130,5,FALSE)</f>
        <v>1178</v>
      </c>
      <c r="P90" s="127">
        <v>1</v>
      </c>
      <c r="Q90" s="127">
        <f t="shared" si="26"/>
        <v>0.49083333333333334</v>
      </c>
      <c r="R90" s="132">
        <f>+O90/P90</f>
        <v>1178</v>
      </c>
      <c r="S90" s="126">
        <f t="shared" si="20"/>
        <v>-1222</v>
      </c>
      <c r="T90" s="132"/>
      <c r="U90" s="133"/>
    </row>
    <row r="91" spans="1:21" x14ac:dyDescent="0.2">
      <c r="A91" s="70">
        <v>1809</v>
      </c>
      <c r="B91" s="70" t="s">
        <v>62</v>
      </c>
      <c r="C91" s="70">
        <v>901</v>
      </c>
      <c r="D91" s="95">
        <f>VLOOKUP(A91,Data!$A$7:$F$130,6,FALSE)</f>
        <v>2080</v>
      </c>
      <c r="E91" s="95">
        <f>VLOOKUP(A91,Data!$A$7:$E$130,5,FALSE)</f>
        <v>3676</v>
      </c>
      <c r="F91" s="96">
        <f t="shared" si="19"/>
        <v>2.3085460599334073</v>
      </c>
      <c r="G91" s="96">
        <v>0.83</v>
      </c>
      <c r="H91" s="95">
        <f t="shared" si="25"/>
        <v>4428.9156626506028</v>
      </c>
      <c r="I91" s="95">
        <f t="shared" si="18"/>
        <v>-2348.9156626506028</v>
      </c>
      <c r="J91" s="95"/>
      <c r="K91" s="95"/>
      <c r="L91" s="106">
        <v>1824</v>
      </c>
      <c r="M91" s="99" t="s">
        <v>81</v>
      </c>
      <c r="N91" s="75">
        <v>4974</v>
      </c>
      <c r="O91" s="95">
        <f>VLOOKUP($L91,Data!$A$7:$E$130,5,FALSE)</f>
        <v>7114</v>
      </c>
      <c r="P91" s="96">
        <v>0.9</v>
      </c>
      <c r="Q91" s="96">
        <f t="shared" si="26"/>
        <v>1.430237233614797</v>
      </c>
      <c r="R91" s="110">
        <f>+O91/P91</f>
        <v>7904.4444444444443</v>
      </c>
      <c r="S91" s="95">
        <f t="shared" si="20"/>
        <v>2930.4444444444443</v>
      </c>
      <c r="T91" s="110"/>
    </row>
    <row r="92" spans="1:21" x14ac:dyDescent="0.2">
      <c r="A92" s="70">
        <v>1810</v>
      </c>
      <c r="B92" s="70" t="s">
        <v>143</v>
      </c>
      <c r="C92" s="70">
        <v>8733</v>
      </c>
      <c r="D92" s="95">
        <f>VLOOKUP(A92,Data!$A$7:$F$130,6,FALSE)</f>
        <v>7628</v>
      </c>
      <c r="E92" s="95">
        <f>VLOOKUP(A92,Data!$A$7:$E$130,5,FALSE)</f>
        <v>7335</v>
      </c>
      <c r="F92" s="96">
        <f t="shared" si="19"/>
        <v>0.87346845299438913</v>
      </c>
      <c r="G92" s="96">
        <v>1</v>
      </c>
      <c r="H92" s="95">
        <f t="shared" si="25"/>
        <v>7335</v>
      </c>
      <c r="I92" s="95">
        <f t="shared" si="18"/>
        <v>293</v>
      </c>
      <c r="J92" s="95"/>
      <c r="K92" s="95"/>
      <c r="L92" s="106">
        <v>1825</v>
      </c>
      <c r="M92" s="99" t="s">
        <v>82</v>
      </c>
      <c r="N92" s="75"/>
      <c r="O92" s="95"/>
      <c r="P92" s="96"/>
      <c r="Q92" s="96"/>
      <c r="R92" s="76"/>
      <c r="S92" s="95">
        <f t="shared" si="20"/>
        <v>0</v>
      </c>
      <c r="T92" s="76"/>
    </row>
    <row r="93" spans="1:21" x14ac:dyDescent="0.2">
      <c r="A93" s="70">
        <v>1811</v>
      </c>
      <c r="B93" s="70" t="s">
        <v>83</v>
      </c>
      <c r="C93" s="70">
        <v>2493</v>
      </c>
      <c r="D93" s="95">
        <f>VLOOKUP(A93,Data!$A$7:$F$130,6,FALSE)</f>
        <v>2500</v>
      </c>
      <c r="E93" s="95">
        <f>VLOOKUP(A93,Data!$A$7:$E$130,5,FALSE)</f>
        <v>989</v>
      </c>
      <c r="F93" s="96">
        <f t="shared" si="19"/>
        <v>1.0028078620136383</v>
      </c>
      <c r="G93" s="96">
        <v>0.83</v>
      </c>
      <c r="H93" s="95">
        <f t="shared" si="25"/>
        <v>1191.566265060241</v>
      </c>
      <c r="I93" s="95">
        <f t="shared" si="18"/>
        <v>1308.433734939759</v>
      </c>
      <c r="J93" s="95"/>
      <c r="K93" s="95"/>
      <c r="L93" s="70"/>
      <c r="M93" s="74"/>
      <c r="N93" s="75"/>
      <c r="O93" s="95"/>
      <c r="P93" s="96"/>
      <c r="Q93" s="96"/>
      <c r="R93" s="76"/>
      <c r="S93" s="95">
        <f t="shared" si="20"/>
        <v>0</v>
      </c>
      <c r="T93" s="76"/>
    </row>
    <row r="94" spans="1:21" x14ac:dyDescent="0.2">
      <c r="A94" s="70">
        <v>1812</v>
      </c>
      <c r="B94" s="70" t="s">
        <v>146</v>
      </c>
      <c r="C94" s="70">
        <v>890</v>
      </c>
      <c r="D94" s="95">
        <f>VLOOKUP(A94,Data!$A$7:$F$130,6,FALSE)</f>
        <v>2513</v>
      </c>
      <c r="E94" s="95">
        <f>VLOOKUP(A94,Data!$A$7:$E$130,5,FALSE)</f>
        <v>1079</v>
      </c>
      <c r="F94" s="96">
        <f t="shared" si="19"/>
        <v>2.8235955056179773</v>
      </c>
      <c r="G94" s="96">
        <v>0.75</v>
      </c>
      <c r="H94" s="95">
        <f t="shared" si="25"/>
        <v>1438.6666666666667</v>
      </c>
      <c r="I94" s="95">
        <f t="shared" si="18"/>
        <v>1074.3333333333333</v>
      </c>
      <c r="J94" s="95"/>
      <c r="K94" s="95" t="s">
        <v>242</v>
      </c>
      <c r="L94" s="56"/>
      <c r="M94" s="99"/>
      <c r="N94" s="75"/>
      <c r="O94" s="95"/>
      <c r="P94" s="96"/>
      <c r="Q94" s="96"/>
      <c r="R94" s="76"/>
      <c r="S94" s="95">
        <f t="shared" si="20"/>
        <v>0</v>
      </c>
      <c r="T94" s="76"/>
    </row>
    <row r="95" spans="1:21" x14ac:dyDescent="0.2">
      <c r="A95" s="125">
        <v>1814</v>
      </c>
      <c r="B95" s="125" t="s">
        <v>84</v>
      </c>
      <c r="C95" s="125">
        <v>1771</v>
      </c>
      <c r="D95" s="126">
        <f>VLOOKUP(A95,Data!$A$7:$F$130,6,FALSE)</f>
        <v>4818</v>
      </c>
      <c r="E95" s="126">
        <f>VLOOKUP(A95,Data!$A$7:$E$130,5,FALSE)</f>
        <v>13894</v>
      </c>
      <c r="F95" s="127">
        <f t="shared" si="19"/>
        <v>2.7204968944099379</v>
      </c>
      <c r="G95" s="127">
        <v>0.83</v>
      </c>
      <c r="H95" s="126">
        <f t="shared" si="25"/>
        <v>16739.75903614458</v>
      </c>
      <c r="I95" s="126">
        <f t="shared" si="18"/>
        <v>-11921.75903614458</v>
      </c>
      <c r="J95" s="95"/>
      <c r="K95" s="95" t="s">
        <v>323</v>
      </c>
      <c r="L95" s="56"/>
      <c r="M95" s="99"/>
      <c r="N95" s="75"/>
      <c r="O95" s="95"/>
      <c r="P95" s="96"/>
      <c r="Q95" s="96"/>
      <c r="R95" s="76"/>
      <c r="S95" s="95">
        <f t="shared" si="20"/>
        <v>0</v>
      </c>
      <c r="T95" s="76"/>
    </row>
    <row r="96" spans="1:21" x14ac:dyDescent="0.2">
      <c r="A96" s="70"/>
      <c r="B96" s="70" t="s">
        <v>262</v>
      </c>
      <c r="C96" s="70"/>
      <c r="D96" s="95"/>
      <c r="E96" s="95"/>
      <c r="F96" s="96"/>
      <c r="G96" s="96"/>
      <c r="H96" s="95">
        <v>900</v>
      </c>
      <c r="I96" s="95">
        <f t="shared" si="18"/>
        <v>-900</v>
      </c>
      <c r="J96" s="95"/>
      <c r="K96" s="95"/>
      <c r="L96" s="56"/>
      <c r="M96" s="99"/>
      <c r="N96" s="75"/>
      <c r="O96" s="95"/>
      <c r="P96" s="96"/>
      <c r="Q96" s="96"/>
      <c r="R96" s="76"/>
      <c r="S96" s="95">
        <f t="shared" si="20"/>
        <v>0</v>
      </c>
      <c r="T96" s="76"/>
    </row>
    <row r="97" spans="1:20" x14ac:dyDescent="0.2">
      <c r="A97" s="70"/>
      <c r="B97" s="86" t="s">
        <v>85</v>
      </c>
      <c r="C97" s="36">
        <f>SUM(C86:C95)</f>
        <v>24051</v>
      </c>
      <c r="D97" s="35">
        <f>SUM(D85:D95)</f>
        <v>29131</v>
      </c>
      <c r="E97" s="35">
        <f>SUM(E85:E95)</f>
        <v>30347</v>
      </c>
      <c r="F97" s="96">
        <f t="shared" si="19"/>
        <v>1.211217828780508</v>
      </c>
      <c r="G97" s="96">
        <f t="shared" si="19"/>
        <v>1.0417424736534964</v>
      </c>
      <c r="H97" s="35">
        <f>SUM(H85:H95)</f>
        <v>33640.574297188752</v>
      </c>
      <c r="I97" s="95">
        <f t="shared" si="18"/>
        <v>-4509.5742971887521</v>
      </c>
      <c r="J97" s="35"/>
      <c r="K97" s="100"/>
      <c r="L97" s="56"/>
      <c r="M97" s="99"/>
      <c r="N97" s="75"/>
      <c r="O97" s="95"/>
      <c r="P97" s="96"/>
      <c r="Q97" s="96"/>
      <c r="R97" s="76"/>
      <c r="S97" s="95">
        <f t="shared" si="20"/>
        <v>0</v>
      </c>
      <c r="T97" s="76"/>
    </row>
    <row r="98" spans="1:20" x14ac:dyDescent="0.2">
      <c r="A98" s="70"/>
      <c r="B98" s="70"/>
      <c r="C98" s="70"/>
      <c r="D98" s="95"/>
      <c r="E98" s="95"/>
      <c r="F98" s="96"/>
      <c r="G98" s="96"/>
      <c r="H98" s="95"/>
      <c r="I98" s="95">
        <f t="shared" si="18"/>
        <v>0</v>
      </c>
      <c r="J98" s="95"/>
      <c r="K98" s="95"/>
      <c r="L98" s="101"/>
      <c r="M98" s="102"/>
      <c r="N98" s="108">
        <f>SUM(N87:N95)</f>
        <v>67653</v>
      </c>
      <c r="O98" s="108">
        <f t="shared" ref="O98" si="27">SUM(O87:O95)</f>
        <v>70827</v>
      </c>
      <c r="P98" s="104"/>
      <c r="Q98" s="104"/>
      <c r="R98" s="108">
        <f t="shared" ref="R98" si="28">SUM(R87:R95)</f>
        <v>78515.777777777766</v>
      </c>
      <c r="S98" s="95">
        <f t="shared" si="20"/>
        <v>10862.777777777766</v>
      </c>
      <c r="T98" s="108"/>
    </row>
    <row r="99" spans="1:20" x14ac:dyDescent="0.2">
      <c r="A99" s="105">
        <v>109</v>
      </c>
      <c r="B99" s="91" t="s">
        <v>86</v>
      </c>
      <c r="C99" s="70"/>
      <c r="D99" s="95"/>
      <c r="E99" s="95"/>
      <c r="F99" s="96"/>
      <c r="G99" s="96"/>
      <c r="H99" s="95"/>
      <c r="I99" s="95">
        <f t="shared" si="18"/>
        <v>0</v>
      </c>
      <c r="J99" s="95"/>
      <c r="K99" s="95"/>
      <c r="L99" s="56"/>
      <c r="M99" s="99"/>
      <c r="N99" s="75"/>
      <c r="O99" s="95"/>
      <c r="P99" s="96"/>
      <c r="Q99" s="96"/>
      <c r="R99" s="76"/>
      <c r="S99" s="95">
        <f t="shared" si="20"/>
        <v>0</v>
      </c>
      <c r="T99" s="76"/>
    </row>
    <row r="100" spans="1:20" x14ac:dyDescent="0.2">
      <c r="A100" s="94">
        <v>1901</v>
      </c>
      <c r="B100" s="70" t="s">
        <v>143</v>
      </c>
      <c r="C100" s="70">
        <v>9695</v>
      </c>
      <c r="D100" s="95">
        <f>VLOOKUP(A100,Data!$A$7:$F$130,6,FALSE)</f>
        <v>8990</v>
      </c>
      <c r="E100" s="95">
        <f>VLOOKUP(A100,Data!$A$7:$E$130,5,FALSE)</f>
        <v>9107</v>
      </c>
      <c r="F100" s="96">
        <f t="shared" si="19"/>
        <v>0.92728210417741108</v>
      </c>
      <c r="G100" s="96">
        <f t="shared" si="19"/>
        <v>1.0130144605116795</v>
      </c>
      <c r="H100" s="95">
        <f t="shared" ref="H100:H105" si="29">+E100/G100</f>
        <v>8990.0000000000018</v>
      </c>
      <c r="I100" s="95">
        <f t="shared" si="18"/>
        <v>0</v>
      </c>
      <c r="J100" s="95"/>
      <c r="K100" s="95" t="s">
        <v>294</v>
      </c>
      <c r="L100" s="56"/>
      <c r="M100" s="99"/>
      <c r="N100" s="75"/>
      <c r="O100" s="95"/>
      <c r="P100" s="96"/>
      <c r="Q100" s="96"/>
      <c r="R100" s="76"/>
      <c r="S100" s="95">
        <f t="shared" si="20"/>
        <v>0</v>
      </c>
      <c r="T100" s="76"/>
    </row>
    <row r="101" spans="1:20" x14ac:dyDescent="0.2">
      <c r="A101" s="94">
        <v>1902</v>
      </c>
      <c r="B101" s="70" t="s">
        <v>88</v>
      </c>
      <c r="C101" s="70">
        <v>10315</v>
      </c>
      <c r="D101" s="95">
        <f>VLOOKUP(A101,Data!$A$7:$F$130,6,FALSE)</f>
        <v>11541</v>
      </c>
      <c r="E101" s="95">
        <f>VLOOKUP(A101,Data!$A$7:$E$130,5,FALSE)</f>
        <v>8565</v>
      </c>
      <c r="F101" s="96">
        <f t="shared" si="19"/>
        <v>1.1188560349006302</v>
      </c>
      <c r="G101" s="96">
        <v>0.83</v>
      </c>
      <c r="H101" s="95">
        <f t="shared" si="29"/>
        <v>10319.277108433735</v>
      </c>
      <c r="I101" s="95">
        <f t="shared" si="18"/>
        <v>1221.7228915662654</v>
      </c>
      <c r="J101" s="95"/>
      <c r="K101" s="95"/>
      <c r="L101" s="78">
        <v>1977</v>
      </c>
      <c r="M101" s="74" t="s">
        <v>87</v>
      </c>
      <c r="N101" s="75">
        <v>798</v>
      </c>
      <c r="O101" s="95">
        <f>VLOOKUP($L101,Data!$A$7:$E$130,5,FALSE)</f>
        <v>423</v>
      </c>
      <c r="P101" s="96">
        <v>0.67</v>
      </c>
      <c r="Q101" s="96">
        <v>0.75</v>
      </c>
      <c r="R101" s="110">
        <f>+O101/P101</f>
        <v>631.3432835820895</v>
      </c>
      <c r="S101" s="95">
        <f t="shared" si="20"/>
        <v>-166.6567164179105</v>
      </c>
      <c r="T101" s="110"/>
    </row>
    <row r="102" spans="1:20" ht="36" customHeight="1" x14ac:dyDescent="0.2">
      <c r="A102" s="94">
        <v>1903</v>
      </c>
      <c r="B102" s="70" t="s">
        <v>71</v>
      </c>
      <c r="C102" s="70">
        <v>2480</v>
      </c>
      <c r="D102" s="95">
        <f>VLOOKUP(A102,Data!$A$7:$F$130,6,FALSE)</f>
        <v>2040</v>
      </c>
      <c r="E102" s="95">
        <f>VLOOKUP(A102,Data!$A$7:$E$130,5,FALSE)</f>
        <v>4029</v>
      </c>
      <c r="F102" s="96">
        <f t="shared" si="19"/>
        <v>0.82258064516129037</v>
      </c>
      <c r="G102" s="96">
        <v>1</v>
      </c>
      <c r="H102" s="95">
        <f t="shared" si="29"/>
        <v>4029</v>
      </c>
      <c r="I102" s="95">
        <f t="shared" ref="I102:I130" si="30">+D102-H102</f>
        <v>-1989</v>
      </c>
      <c r="J102" s="95"/>
      <c r="K102" s="107"/>
      <c r="L102" s="78">
        <v>1978</v>
      </c>
      <c r="M102" s="74" t="s">
        <v>89</v>
      </c>
      <c r="N102" s="75">
        <v>1800</v>
      </c>
      <c r="O102" s="95">
        <f>VLOOKUP($L102,Data!$A$7:$E$130,5,FALSE)</f>
        <v>2113</v>
      </c>
      <c r="P102" s="96">
        <v>1</v>
      </c>
      <c r="Q102" s="96" t="e">
        <f>VLOOKUP($L102,Data!$A$7:$I$102,9,FALSE)</f>
        <v>#N/A</v>
      </c>
      <c r="R102" s="110">
        <v>1800</v>
      </c>
      <c r="S102" s="95">
        <f t="shared" si="20"/>
        <v>0</v>
      </c>
      <c r="T102" s="110"/>
    </row>
    <row r="103" spans="1:20" ht="18.600000000000001" customHeight="1" x14ac:dyDescent="0.2">
      <c r="A103" s="94">
        <v>1904</v>
      </c>
      <c r="B103" s="70" t="s">
        <v>50</v>
      </c>
      <c r="C103" s="70">
        <v>2401</v>
      </c>
      <c r="D103" s="95">
        <f>VLOOKUP(A103,Data!$A$7:$F$130,6,FALSE)</f>
        <v>1820</v>
      </c>
      <c r="E103" s="95">
        <f>VLOOKUP(A103,Data!$A$7:$E$130,5,FALSE)</f>
        <v>0</v>
      </c>
      <c r="F103" s="96">
        <f t="shared" si="19"/>
        <v>0.75801749271137031</v>
      </c>
      <c r="G103" s="96">
        <v>0</v>
      </c>
      <c r="H103" s="95">
        <v>1820</v>
      </c>
      <c r="I103" s="95">
        <f t="shared" si="30"/>
        <v>0</v>
      </c>
      <c r="J103" s="95"/>
      <c r="K103" s="95"/>
      <c r="L103" s="106">
        <v>1979</v>
      </c>
      <c r="M103" s="111" t="s">
        <v>90</v>
      </c>
      <c r="N103" s="75">
        <v>12000</v>
      </c>
      <c r="O103" s="95">
        <f>VLOOKUP($L103,Data!$A$7:$E$130,5,FALSE)</f>
        <v>12000</v>
      </c>
      <c r="P103" s="96">
        <v>1</v>
      </c>
      <c r="Q103" s="96" t="e">
        <f>VLOOKUP($L103,Data!$A$7:$I$102,9,FALSE)</f>
        <v>#N/A</v>
      </c>
      <c r="R103" s="110">
        <f>+O103/P103</f>
        <v>12000</v>
      </c>
      <c r="S103" s="95">
        <f t="shared" si="20"/>
        <v>0</v>
      </c>
      <c r="T103" s="110"/>
    </row>
    <row r="104" spans="1:20" x14ac:dyDescent="0.2">
      <c r="A104" s="94">
        <v>1905</v>
      </c>
      <c r="B104" s="70" t="s">
        <v>92</v>
      </c>
      <c r="C104" s="70">
        <v>4441</v>
      </c>
      <c r="D104" s="95">
        <f>VLOOKUP(A104,Data!$A$7:$F$130,6,FALSE)</f>
        <v>4202</v>
      </c>
      <c r="E104" s="95">
        <f>VLOOKUP(A104,Data!$A$7:$E$130,5,FALSE)</f>
        <v>5191</v>
      </c>
      <c r="F104" s="96">
        <f t="shared" si="19"/>
        <v>0.94618329205133977</v>
      </c>
      <c r="G104" s="96">
        <v>0.5</v>
      </c>
      <c r="H104" s="95">
        <f t="shared" si="29"/>
        <v>10382</v>
      </c>
      <c r="I104" s="95">
        <f t="shared" si="30"/>
        <v>-6180</v>
      </c>
      <c r="J104" s="95"/>
      <c r="K104" s="95"/>
      <c r="L104" s="106">
        <v>1980</v>
      </c>
      <c r="M104" s="111" t="s">
        <v>91</v>
      </c>
      <c r="N104" s="75"/>
      <c r="O104" s="95"/>
      <c r="P104" s="96"/>
      <c r="Q104" s="96"/>
      <c r="R104" s="76"/>
      <c r="S104" s="95">
        <f t="shared" si="20"/>
        <v>0</v>
      </c>
      <c r="T104" s="76"/>
    </row>
    <row r="105" spans="1:20" x14ac:dyDescent="0.2">
      <c r="A105" s="94">
        <v>1906</v>
      </c>
      <c r="B105" s="70" t="s">
        <v>93</v>
      </c>
      <c r="C105" s="70">
        <v>1907</v>
      </c>
      <c r="D105" s="95">
        <f>VLOOKUP(A105,Data!$A$7:$F$130,6,FALSE)</f>
        <v>2361</v>
      </c>
      <c r="E105" s="95">
        <f>VLOOKUP(A105,Data!$A$7:$E$130,5,FALSE)</f>
        <v>909</v>
      </c>
      <c r="F105" s="96">
        <f t="shared" si="19"/>
        <v>1.2380702674357629</v>
      </c>
      <c r="G105" s="96">
        <v>0.83</v>
      </c>
      <c r="H105" s="95">
        <f t="shared" si="29"/>
        <v>1095.1807228915663</v>
      </c>
      <c r="I105" s="95">
        <f t="shared" si="30"/>
        <v>1265.8192771084337</v>
      </c>
      <c r="J105" s="95"/>
      <c r="K105" s="95"/>
      <c r="L105" s="56"/>
      <c r="M105" s="99"/>
      <c r="N105" s="75"/>
      <c r="O105" s="95"/>
      <c r="P105" s="96"/>
      <c r="Q105" s="96"/>
      <c r="R105" s="76"/>
      <c r="S105" s="95">
        <f t="shared" si="20"/>
        <v>0</v>
      </c>
      <c r="T105" s="76"/>
    </row>
    <row r="106" spans="1:20" x14ac:dyDescent="0.2">
      <c r="A106" s="124">
        <v>1907</v>
      </c>
      <c r="B106" s="125" t="s">
        <v>94</v>
      </c>
      <c r="C106" s="125">
        <v>9162</v>
      </c>
      <c r="D106" s="126">
        <f>VLOOKUP(A106,Data!$A$7:$F$130,6,FALSE)</f>
        <v>7970</v>
      </c>
      <c r="E106" s="126">
        <v>4540</v>
      </c>
      <c r="F106" s="127">
        <f t="shared" si="19"/>
        <v>0.86989740231390522</v>
      </c>
      <c r="G106" s="127">
        <v>0.83</v>
      </c>
      <c r="H106" s="126">
        <v>7970</v>
      </c>
      <c r="I106" s="126">
        <f t="shared" si="30"/>
        <v>0</v>
      </c>
      <c r="J106" s="95"/>
      <c r="K106" s="95" t="s">
        <v>259</v>
      </c>
      <c r="L106" s="56"/>
      <c r="M106" s="99"/>
      <c r="N106" s="75"/>
      <c r="O106" s="95"/>
      <c r="P106" s="96"/>
      <c r="Q106" s="96"/>
      <c r="R106" s="76"/>
      <c r="S106" s="95">
        <f t="shared" ref="S106:S130" si="31">+R106-N106</f>
        <v>0</v>
      </c>
      <c r="T106" s="76"/>
    </row>
    <row r="107" spans="1:20" x14ac:dyDescent="0.2">
      <c r="A107" s="94">
        <v>1908</v>
      </c>
      <c r="B107" s="70" t="s">
        <v>95</v>
      </c>
      <c r="C107" s="70">
        <v>2156</v>
      </c>
      <c r="D107" s="95">
        <f>VLOOKUP(A107,Data!$A$7:$F$130,6,FALSE)</f>
        <v>924</v>
      </c>
      <c r="E107" s="95">
        <f>VLOOKUP(A107,Data!$A$7:$E$130,5,FALSE)</f>
        <v>1112</v>
      </c>
      <c r="F107" s="96">
        <f t="shared" si="19"/>
        <v>0.42857142857142855</v>
      </c>
      <c r="G107" s="96">
        <v>1</v>
      </c>
      <c r="H107" s="95">
        <f>+E107/F107</f>
        <v>2594.666666666667</v>
      </c>
      <c r="I107" s="95">
        <f t="shared" si="30"/>
        <v>-1670.666666666667</v>
      </c>
      <c r="J107" s="95"/>
      <c r="K107" s="95"/>
      <c r="L107" s="56"/>
      <c r="M107" s="99"/>
      <c r="N107" s="75"/>
      <c r="O107" s="95"/>
      <c r="P107" s="96"/>
      <c r="Q107" s="96"/>
      <c r="R107" s="76"/>
      <c r="S107" s="95">
        <f t="shared" si="31"/>
        <v>0</v>
      </c>
      <c r="T107" s="76"/>
    </row>
    <row r="108" spans="1:20" x14ac:dyDescent="0.2">
      <c r="A108" s="94"/>
      <c r="B108" s="70"/>
      <c r="C108" s="70"/>
      <c r="D108" s="95"/>
      <c r="E108" s="95"/>
      <c r="F108" s="96"/>
      <c r="G108" s="96"/>
      <c r="H108" s="95"/>
      <c r="I108" s="95">
        <f t="shared" si="30"/>
        <v>0</v>
      </c>
      <c r="J108" s="95"/>
      <c r="K108" s="95"/>
      <c r="L108" s="56"/>
      <c r="M108" s="99"/>
      <c r="N108" s="75"/>
      <c r="O108" s="95"/>
      <c r="P108" s="96"/>
      <c r="Q108" s="96"/>
      <c r="R108" s="76"/>
      <c r="S108" s="95">
        <f t="shared" si="31"/>
        <v>0</v>
      </c>
      <c r="T108" s="76"/>
    </row>
    <row r="109" spans="1:20" x14ac:dyDescent="0.2">
      <c r="A109" s="70"/>
      <c r="B109" s="86" t="s">
        <v>96</v>
      </c>
      <c r="C109" s="36">
        <f>SUM(C100:C108)</f>
        <v>42557</v>
      </c>
      <c r="D109" s="35">
        <f>SUM(D100:D107)</f>
        <v>39848</v>
      </c>
      <c r="E109" s="35">
        <f t="shared" ref="E109" si="32">SUM(E100:E107)</f>
        <v>33453</v>
      </c>
      <c r="F109" s="35"/>
      <c r="G109" s="35"/>
      <c r="H109" s="35">
        <f>SUM(H100:H107)</f>
        <v>47200.124497991965</v>
      </c>
      <c r="I109" s="95">
        <f t="shared" si="30"/>
        <v>-7352.1244979919647</v>
      </c>
      <c r="J109" s="35"/>
      <c r="K109" s="100"/>
      <c r="L109" s="56"/>
      <c r="M109" s="99"/>
      <c r="N109" s="112"/>
      <c r="O109" s="35"/>
      <c r="P109" s="37"/>
      <c r="Q109" s="37"/>
      <c r="R109" s="113"/>
      <c r="S109" s="95">
        <f t="shared" si="31"/>
        <v>0</v>
      </c>
      <c r="T109" s="113"/>
    </row>
    <row r="110" spans="1:20" x14ac:dyDescent="0.2">
      <c r="A110" s="70"/>
      <c r="B110" s="86"/>
      <c r="C110" s="70"/>
      <c r="D110" s="95"/>
      <c r="E110" s="95"/>
      <c r="F110" s="96"/>
      <c r="G110" s="96"/>
      <c r="H110" s="95"/>
      <c r="I110" s="95">
        <f t="shared" si="30"/>
        <v>0</v>
      </c>
      <c r="J110" s="95"/>
      <c r="K110" s="95"/>
      <c r="L110" s="101"/>
      <c r="M110" s="102"/>
      <c r="N110" s="108">
        <f>SUM(N101:N104)</f>
        <v>14598</v>
      </c>
      <c r="O110" s="108">
        <f t="shared" ref="O110" si="33">SUM(O101:O104)</f>
        <v>14536</v>
      </c>
      <c r="P110" s="37"/>
      <c r="Q110" s="37"/>
      <c r="R110" s="108">
        <f t="shared" ref="R110" si="34">SUM(R101:R104)</f>
        <v>14431.343283582089</v>
      </c>
      <c r="S110" s="95">
        <f t="shared" si="31"/>
        <v>-166.6567164179105</v>
      </c>
      <c r="T110" s="108"/>
    </row>
    <row r="111" spans="1:20" x14ac:dyDescent="0.2">
      <c r="A111" s="105">
        <v>110</v>
      </c>
      <c r="B111" s="91" t="s">
        <v>97</v>
      </c>
      <c r="C111" s="70"/>
      <c r="D111" s="95"/>
      <c r="E111" s="95"/>
      <c r="F111" s="96"/>
      <c r="G111" s="96"/>
      <c r="H111" s="95"/>
      <c r="I111" s="95">
        <f t="shared" si="30"/>
        <v>0</v>
      </c>
      <c r="J111" s="95"/>
      <c r="K111" s="95"/>
      <c r="L111" s="101"/>
      <c r="M111" s="102"/>
      <c r="N111" s="75"/>
      <c r="O111" s="95"/>
      <c r="P111" s="96"/>
      <c r="Q111" s="96"/>
      <c r="R111" s="76"/>
      <c r="S111" s="95">
        <f t="shared" si="31"/>
        <v>0</v>
      </c>
      <c r="T111" s="76"/>
    </row>
    <row r="112" spans="1:20" x14ac:dyDescent="0.2">
      <c r="A112" s="94">
        <v>2001</v>
      </c>
      <c r="B112" s="70" t="s">
        <v>98</v>
      </c>
      <c r="C112" s="70">
        <v>1000</v>
      </c>
      <c r="D112" s="95">
        <f>VLOOKUP(A112,Data!$A$7:$F$130,6,FALSE)</f>
        <v>800</v>
      </c>
      <c r="E112" s="126">
        <f>VLOOKUP(A112,Data!$A$7:$E$130,5,FALSE)</f>
        <v>0</v>
      </c>
      <c r="F112" s="96">
        <f t="shared" si="19"/>
        <v>0.8</v>
      </c>
      <c r="G112" s="96">
        <f t="shared" si="19"/>
        <v>0</v>
      </c>
      <c r="H112" s="95">
        <v>0</v>
      </c>
      <c r="I112" s="95">
        <f t="shared" si="30"/>
        <v>800</v>
      </c>
      <c r="J112" s="95"/>
      <c r="K112" s="95"/>
      <c r="L112" s="56"/>
      <c r="M112" s="99"/>
      <c r="N112" s="75"/>
      <c r="O112" s="95"/>
      <c r="P112" s="96"/>
      <c r="Q112" s="96"/>
      <c r="R112" s="76"/>
      <c r="S112" s="95">
        <f t="shared" si="31"/>
        <v>0</v>
      </c>
      <c r="T112" s="76"/>
    </row>
    <row r="113" spans="1:20" x14ac:dyDescent="0.2">
      <c r="A113" s="94">
        <v>2002</v>
      </c>
      <c r="B113" s="70" t="s">
        <v>19</v>
      </c>
      <c r="C113" s="70">
        <v>5580</v>
      </c>
      <c r="D113" s="95">
        <f>VLOOKUP(A113,Data!$A$7:$F$130,6,FALSE)</f>
        <v>5531</v>
      </c>
      <c r="E113" s="126">
        <f>VLOOKUP(A113,Data!$A$7:$E$130,5,FALSE)</f>
        <v>3717</v>
      </c>
      <c r="F113" s="96">
        <f t="shared" si="19"/>
        <v>0.9912186379928315</v>
      </c>
      <c r="G113" s="96">
        <v>0.83</v>
      </c>
      <c r="H113" s="95">
        <f>+E113/F113</f>
        <v>3749.9294883384559</v>
      </c>
      <c r="I113" s="95">
        <f t="shared" si="30"/>
        <v>1781.0705116615441</v>
      </c>
      <c r="J113" s="95"/>
      <c r="K113" s="95"/>
      <c r="L113" s="78">
        <v>2021</v>
      </c>
      <c r="M113" s="74" t="s">
        <v>99</v>
      </c>
      <c r="N113" s="75">
        <v>1000</v>
      </c>
      <c r="O113" s="95">
        <f>VLOOKUP($L113,Data!$A$7:$E$130,5,FALSE)</f>
        <v>1070</v>
      </c>
      <c r="P113" s="96">
        <v>1</v>
      </c>
      <c r="Q113" s="96" t="e">
        <f>VLOOKUP($L113,Data!$A$7:$I$102,9,FALSE)</f>
        <v>#N/A</v>
      </c>
      <c r="R113" s="76">
        <f>+O113/P113</f>
        <v>1070</v>
      </c>
      <c r="S113" s="95">
        <f t="shared" si="31"/>
        <v>70</v>
      </c>
      <c r="T113" s="76"/>
    </row>
    <row r="114" spans="1:20" x14ac:dyDescent="0.2">
      <c r="A114" s="94">
        <v>2003</v>
      </c>
      <c r="B114" s="70" t="s">
        <v>101</v>
      </c>
      <c r="C114" s="70">
        <v>289</v>
      </c>
      <c r="D114" s="95"/>
      <c r="E114" s="126"/>
      <c r="F114" s="96"/>
      <c r="G114" s="96"/>
      <c r="H114" s="95"/>
      <c r="I114" s="95">
        <f t="shared" si="30"/>
        <v>0</v>
      </c>
      <c r="J114" s="95"/>
      <c r="K114" s="95"/>
      <c r="L114" s="78">
        <v>2022</v>
      </c>
      <c r="M114" s="74" t="s">
        <v>100</v>
      </c>
      <c r="N114" s="75">
        <v>388</v>
      </c>
      <c r="O114" s="95">
        <v>190</v>
      </c>
      <c r="P114" s="96">
        <v>1</v>
      </c>
      <c r="Q114" s="96" t="e">
        <f>VLOOKUP($L114,Data!$A$7:$I$102,9,FALSE)</f>
        <v>#N/A</v>
      </c>
      <c r="R114" s="110">
        <f>+O114/P114</f>
        <v>190</v>
      </c>
      <c r="S114" s="95">
        <f t="shared" si="31"/>
        <v>-198</v>
      </c>
      <c r="T114" s="110"/>
    </row>
    <row r="115" spans="1:20" x14ac:dyDescent="0.2">
      <c r="A115" s="94">
        <v>2004</v>
      </c>
      <c r="B115" s="70" t="s">
        <v>103</v>
      </c>
      <c r="C115" s="70"/>
      <c r="D115" s="95"/>
      <c r="E115" s="126"/>
      <c r="F115" s="96"/>
      <c r="G115" s="96"/>
      <c r="H115" s="95"/>
      <c r="I115" s="95">
        <f t="shared" si="30"/>
        <v>0</v>
      </c>
      <c r="J115" s="95"/>
      <c r="K115" s="95"/>
      <c r="L115" s="78">
        <v>2023</v>
      </c>
      <c r="M115" s="74" t="s">
        <v>102</v>
      </c>
      <c r="N115" s="75">
        <v>0</v>
      </c>
      <c r="O115" s="95"/>
      <c r="P115" s="96"/>
      <c r="Q115" s="96"/>
      <c r="R115" s="76"/>
      <c r="S115" s="95">
        <f t="shared" si="31"/>
        <v>0</v>
      </c>
      <c r="T115" s="76"/>
    </row>
    <row r="116" spans="1:20" x14ac:dyDescent="0.2">
      <c r="A116" s="94">
        <v>2005</v>
      </c>
      <c r="B116" s="70" t="s">
        <v>104</v>
      </c>
      <c r="C116" s="70">
        <v>16</v>
      </c>
      <c r="D116" s="95">
        <f>VLOOKUP(A116,Data!$A$7:$F$130,6,FALSE)</f>
        <v>33</v>
      </c>
      <c r="E116" s="126">
        <f>VLOOKUP(A116,Data!$A$7:$E$130,5,FALSE)</f>
        <v>44</v>
      </c>
      <c r="F116" s="96">
        <f t="shared" si="19"/>
        <v>2.0625</v>
      </c>
      <c r="G116" s="96">
        <v>0.83</v>
      </c>
      <c r="H116" s="95">
        <v>44</v>
      </c>
      <c r="I116" s="95">
        <f t="shared" si="30"/>
        <v>-11</v>
      </c>
      <c r="J116" s="95"/>
      <c r="K116" s="95"/>
      <c r="L116" s="114"/>
      <c r="M116" s="74"/>
      <c r="N116" s="75"/>
      <c r="O116" s="95"/>
      <c r="P116" s="96"/>
      <c r="Q116" s="96"/>
      <c r="R116" s="76"/>
      <c r="S116" s="95">
        <f t="shared" si="31"/>
        <v>0</v>
      </c>
      <c r="T116" s="76"/>
    </row>
    <row r="117" spans="1:20" x14ac:dyDescent="0.2">
      <c r="A117" s="94">
        <v>2006</v>
      </c>
      <c r="B117" s="70" t="s">
        <v>147</v>
      </c>
      <c r="C117" s="70">
        <v>676</v>
      </c>
      <c r="D117" s="95"/>
      <c r="E117" s="126"/>
      <c r="F117" s="96"/>
      <c r="G117" s="96"/>
      <c r="H117" s="95"/>
      <c r="I117" s="95">
        <f t="shared" si="30"/>
        <v>0</v>
      </c>
      <c r="J117" s="95"/>
      <c r="K117" s="95"/>
      <c r="L117" s="114"/>
      <c r="M117" s="74"/>
      <c r="N117" s="75"/>
      <c r="O117" s="95"/>
      <c r="P117" s="96"/>
      <c r="Q117" s="96"/>
      <c r="R117" s="76"/>
      <c r="S117" s="95">
        <f t="shared" si="31"/>
        <v>0</v>
      </c>
      <c r="T117" s="76"/>
    </row>
    <row r="118" spans="1:20" x14ac:dyDescent="0.2">
      <c r="A118" s="94">
        <v>2007</v>
      </c>
      <c r="B118" s="70" t="s">
        <v>105</v>
      </c>
      <c r="C118" s="70">
        <v>2701</v>
      </c>
      <c r="D118" s="95">
        <f>VLOOKUP(A118,Data!$A$7:$F$130,6,FALSE)</f>
        <v>2468</v>
      </c>
      <c r="E118" s="126">
        <f>VLOOKUP(A118,Data!$A$7:$E$130,5,FALSE)</f>
        <v>3893</v>
      </c>
      <c r="F118" s="96">
        <f t="shared" si="19"/>
        <v>0.91373565346168084</v>
      </c>
      <c r="G118" s="96">
        <v>1</v>
      </c>
      <c r="H118" s="95">
        <f>+E118/F118</f>
        <v>4260.532009724473</v>
      </c>
      <c r="I118" s="95">
        <f t="shared" si="30"/>
        <v>-1792.532009724473</v>
      </c>
      <c r="J118" s="95"/>
      <c r="K118" s="95"/>
      <c r="L118" s="114"/>
      <c r="M118" s="74"/>
      <c r="N118" s="75"/>
      <c r="O118" s="95"/>
      <c r="P118" s="96"/>
      <c r="Q118" s="96"/>
      <c r="R118" s="76"/>
      <c r="S118" s="95">
        <f t="shared" si="31"/>
        <v>0</v>
      </c>
      <c r="T118" s="76"/>
    </row>
    <row r="119" spans="1:20" x14ac:dyDescent="0.2">
      <c r="A119" s="94">
        <v>2009</v>
      </c>
      <c r="B119" s="70" t="s">
        <v>106</v>
      </c>
      <c r="C119" s="70"/>
      <c r="D119" s="95"/>
      <c r="E119" s="126"/>
      <c r="F119" s="96"/>
      <c r="G119" s="96"/>
      <c r="H119" s="95"/>
      <c r="I119" s="95">
        <f t="shared" si="30"/>
        <v>0</v>
      </c>
      <c r="J119" s="95"/>
      <c r="K119" s="95"/>
      <c r="L119" s="70"/>
      <c r="M119" s="74"/>
      <c r="N119" s="75"/>
      <c r="O119" s="95"/>
      <c r="P119" s="96"/>
      <c r="Q119" s="96"/>
      <c r="R119" s="76"/>
      <c r="S119" s="95">
        <f t="shared" si="31"/>
        <v>0</v>
      </c>
      <c r="T119" s="76"/>
    </row>
    <row r="120" spans="1:20" x14ac:dyDescent="0.2">
      <c r="A120" s="70"/>
      <c r="B120" s="86" t="s">
        <v>107</v>
      </c>
      <c r="C120" s="36">
        <f>SUM(C112:C119)</f>
        <v>10262</v>
      </c>
      <c r="D120" s="95">
        <f>SUM(D112:D119)</f>
        <v>8832</v>
      </c>
      <c r="E120" s="95">
        <f t="shared" ref="E120:I120" si="35">SUM(E112:E119)</f>
        <v>7654</v>
      </c>
      <c r="F120" s="95">
        <f t="shared" si="35"/>
        <v>4.7674542914545128</v>
      </c>
      <c r="G120" s="95"/>
      <c r="H120" s="95">
        <f t="shared" si="35"/>
        <v>8054.4614980629285</v>
      </c>
      <c r="I120" s="95">
        <f t="shared" si="35"/>
        <v>777.53850193707103</v>
      </c>
      <c r="J120" s="35"/>
      <c r="K120" s="100"/>
      <c r="L120" s="114"/>
      <c r="M120" s="74"/>
      <c r="N120" s="75"/>
      <c r="O120" s="95"/>
      <c r="P120" s="96"/>
      <c r="Q120" s="96"/>
      <c r="R120" s="76"/>
      <c r="S120" s="95">
        <f t="shared" si="31"/>
        <v>0</v>
      </c>
      <c r="T120" s="76"/>
    </row>
    <row r="121" spans="1:20" x14ac:dyDescent="0.2">
      <c r="A121" s="70"/>
      <c r="B121" s="70"/>
      <c r="C121" s="70"/>
      <c r="D121" s="95"/>
      <c r="E121" s="95"/>
      <c r="F121" s="96"/>
      <c r="G121" s="96"/>
      <c r="H121" s="95"/>
      <c r="I121" s="95">
        <f t="shared" si="30"/>
        <v>0</v>
      </c>
      <c r="J121" s="95"/>
      <c r="K121" s="93"/>
      <c r="L121" s="101"/>
      <c r="M121" s="102"/>
      <c r="N121" s="115">
        <f>SUM(N113:N120)</f>
        <v>1388</v>
      </c>
      <c r="O121" s="115">
        <f>SUM(O113:O120)</f>
        <v>1260</v>
      </c>
      <c r="P121" s="37"/>
      <c r="Q121" s="37"/>
      <c r="R121" s="115">
        <f>SUM(R113:R120)</f>
        <v>1260</v>
      </c>
      <c r="S121" s="95">
        <f t="shared" si="31"/>
        <v>-128</v>
      </c>
      <c r="T121" s="115"/>
    </row>
    <row r="122" spans="1:20" x14ac:dyDescent="0.2">
      <c r="A122" s="91">
        <v>111</v>
      </c>
      <c r="B122" s="86" t="s">
        <v>108</v>
      </c>
      <c r="C122" s="70"/>
      <c r="D122" s="95"/>
      <c r="E122" s="95"/>
      <c r="F122" s="96"/>
      <c r="G122" s="96"/>
      <c r="H122" s="95"/>
      <c r="I122" s="95">
        <f t="shared" si="30"/>
        <v>0</v>
      </c>
      <c r="J122" s="95"/>
      <c r="K122" s="95"/>
      <c r="L122" s="70"/>
      <c r="M122" s="74"/>
      <c r="N122" s="75"/>
      <c r="O122" s="95"/>
      <c r="P122" s="96"/>
      <c r="Q122" s="96"/>
      <c r="R122" s="76"/>
      <c r="S122" s="95">
        <f t="shared" si="31"/>
        <v>0</v>
      </c>
      <c r="T122" s="76"/>
    </row>
    <row r="123" spans="1:20" hidden="1" x14ac:dyDescent="0.2">
      <c r="A123" s="70">
        <v>2301</v>
      </c>
      <c r="B123" s="70" t="s">
        <v>51</v>
      </c>
      <c r="C123" s="70"/>
      <c r="D123" s="95" t="e">
        <f>VLOOKUP(A123,Data!$A$7:$F$102,6,FALSE)</f>
        <v>#N/A</v>
      </c>
      <c r="E123" s="95"/>
      <c r="F123" s="96"/>
      <c r="G123" s="96"/>
      <c r="H123" s="95"/>
      <c r="I123" s="95" t="e">
        <f t="shared" si="30"/>
        <v>#N/A</v>
      </c>
      <c r="J123" s="95"/>
      <c r="K123" s="95"/>
      <c r="L123" s="56"/>
      <c r="M123" s="99"/>
      <c r="N123" s="75"/>
      <c r="O123" s="95"/>
      <c r="P123" s="96"/>
      <c r="Q123" s="96"/>
      <c r="R123" s="76"/>
      <c r="S123" s="95">
        <f t="shared" si="31"/>
        <v>0</v>
      </c>
      <c r="T123" s="76"/>
    </row>
    <row r="124" spans="1:20" hidden="1" x14ac:dyDescent="0.2">
      <c r="A124" s="70">
        <v>2302</v>
      </c>
      <c r="B124" s="70" t="s">
        <v>109</v>
      </c>
      <c r="C124" s="70"/>
      <c r="D124" s="95" t="e">
        <f>VLOOKUP(A124,Data!$A$7:$F$102,6,FALSE)</f>
        <v>#N/A</v>
      </c>
      <c r="E124" s="95"/>
      <c r="F124" s="96"/>
      <c r="G124" s="96"/>
      <c r="H124" s="95"/>
      <c r="I124" s="95" t="e">
        <f t="shared" si="30"/>
        <v>#N/A</v>
      </c>
      <c r="J124" s="95"/>
      <c r="K124" s="95"/>
      <c r="L124" s="106"/>
      <c r="M124" s="99"/>
      <c r="N124" s="75"/>
      <c r="O124" s="95"/>
      <c r="P124" s="96"/>
      <c r="Q124" s="96"/>
      <c r="R124" s="76"/>
      <c r="S124" s="95">
        <f t="shared" si="31"/>
        <v>0</v>
      </c>
      <c r="T124" s="76"/>
    </row>
    <row r="125" spans="1:20" hidden="1" x14ac:dyDescent="0.2">
      <c r="A125" s="70">
        <v>2303</v>
      </c>
      <c r="B125" s="70" t="s">
        <v>110</v>
      </c>
      <c r="C125" s="70"/>
      <c r="D125" s="95" t="e">
        <f>VLOOKUP(A125,Data!$A$7:$F$102,6,FALSE)</f>
        <v>#N/A</v>
      </c>
      <c r="E125" s="95"/>
      <c r="F125" s="96"/>
      <c r="G125" s="96"/>
      <c r="H125" s="95"/>
      <c r="I125" s="95" t="e">
        <f t="shared" si="30"/>
        <v>#N/A</v>
      </c>
      <c r="J125" s="95"/>
      <c r="K125" s="95"/>
      <c r="L125" s="56"/>
      <c r="M125" s="99"/>
      <c r="N125" s="75"/>
      <c r="O125" s="95"/>
      <c r="P125" s="96"/>
      <c r="Q125" s="96"/>
      <c r="R125" s="76"/>
      <c r="S125" s="95">
        <f t="shared" si="31"/>
        <v>0</v>
      </c>
      <c r="T125" s="76"/>
    </row>
    <row r="126" spans="1:20" hidden="1" x14ac:dyDescent="0.2">
      <c r="A126" s="70">
        <v>2304</v>
      </c>
      <c r="B126" s="70" t="s">
        <v>111</v>
      </c>
      <c r="C126" s="70"/>
      <c r="D126" s="95" t="e">
        <f>VLOOKUP(A126,Data!$A$7:$F$102,6,FALSE)</f>
        <v>#N/A</v>
      </c>
      <c r="E126" s="95"/>
      <c r="F126" s="96"/>
      <c r="G126" s="96"/>
      <c r="H126" s="95"/>
      <c r="I126" s="95" t="e">
        <f t="shared" si="30"/>
        <v>#N/A</v>
      </c>
      <c r="J126" s="95"/>
      <c r="K126" s="95"/>
      <c r="L126" s="56"/>
      <c r="M126" s="99"/>
      <c r="N126" s="75"/>
      <c r="O126" s="95"/>
      <c r="P126" s="96"/>
      <c r="Q126" s="96"/>
      <c r="R126" s="76"/>
      <c r="S126" s="95">
        <f t="shared" si="31"/>
        <v>0</v>
      </c>
      <c r="T126" s="76"/>
    </row>
    <row r="127" spans="1:20" x14ac:dyDescent="0.2">
      <c r="A127" s="70"/>
      <c r="B127" s="86" t="s">
        <v>112</v>
      </c>
      <c r="C127" s="70"/>
      <c r="D127" s="95"/>
      <c r="E127" s="95"/>
      <c r="F127" s="96"/>
      <c r="G127" s="96"/>
      <c r="H127" s="95"/>
      <c r="I127" s="95">
        <f t="shared" si="30"/>
        <v>0</v>
      </c>
      <c r="J127" s="95"/>
      <c r="K127" s="100"/>
      <c r="L127" s="56"/>
      <c r="M127" s="99"/>
      <c r="N127" s="75"/>
      <c r="O127" s="95"/>
      <c r="P127" s="96"/>
      <c r="Q127" s="96"/>
      <c r="R127" s="76"/>
      <c r="S127" s="95">
        <f t="shared" si="31"/>
        <v>0</v>
      </c>
      <c r="T127" s="76"/>
    </row>
    <row r="128" spans="1:20" x14ac:dyDescent="0.2">
      <c r="A128" s="70"/>
      <c r="B128" s="86"/>
      <c r="C128" s="70"/>
      <c r="D128" s="95"/>
      <c r="E128" s="95"/>
      <c r="F128" s="96"/>
      <c r="G128" s="96"/>
      <c r="H128" s="95"/>
      <c r="I128" s="95">
        <f t="shared" si="30"/>
        <v>0</v>
      </c>
      <c r="J128" s="95"/>
      <c r="K128" s="95"/>
      <c r="L128" s="101"/>
      <c r="M128" s="102"/>
      <c r="N128" s="75"/>
      <c r="O128" s="95"/>
      <c r="P128" s="96"/>
      <c r="Q128" s="96"/>
      <c r="R128" s="76"/>
      <c r="S128" s="95">
        <f t="shared" si="31"/>
        <v>0</v>
      </c>
      <c r="T128" s="76"/>
    </row>
    <row r="129" spans="1:20" x14ac:dyDescent="0.2">
      <c r="A129" s="70"/>
      <c r="B129" s="86"/>
      <c r="C129" s="70"/>
      <c r="D129" s="95"/>
      <c r="E129" s="95"/>
      <c r="F129" s="96"/>
      <c r="G129" s="96"/>
      <c r="H129" s="95"/>
      <c r="I129" s="95">
        <f t="shared" si="30"/>
        <v>0</v>
      </c>
      <c r="J129" s="95"/>
      <c r="K129" s="100"/>
      <c r="L129" s="56"/>
      <c r="M129" s="99"/>
      <c r="N129" s="75"/>
      <c r="O129" s="95"/>
      <c r="P129" s="96"/>
      <c r="Q129" s="96"/>
      <c r="R129" s="76"/>
      <c r="S129" s="95">
        <f t="shared" si="31"/>
        <v>0</v>
      </c>
      <c r="T129" s="76"/>
    </row>
    <row r="130" spans="1:20" x14ac:dyDescent="0.2">
      <c r="A130" s="70"/>
      <c r="B130" s="86" t="s">
        <v>113</v>
      </c>
      <c r="C130" s="35">
        <f>C25+C28+C40+C62+C72+C82+C97+C109+C120+C127</f>
        <v>366515</v>
      </c>
      <c r="D130" s="35">
        <f>D25+D28+D40+D62+D72+D82+D97+D109+D120+D127</f>
        <v>379827</v>
      </c>
      <c r="E130" s="35">
        <f>E25+E28+E40+E62+E72+E82+E97+E109+E120+E127</f>
        <v>323875</v>
      </c>
      <c r="F130" s="96"/>
      <c r="G130" s="96"/>
      <c r="H130" s="35">
        <f>H25+H28+H40+H62+H72+H82+H97+H109+H120+H127</f>
        <v>390306.9532815282</v>
      </c>
      <c r="I130" s="95">
        <f t="shared" si="30"/>
        <v>-10479.9532815282</v>
      </c>
      <c r="J130" s="35"/>
      <c r="K130" s="95"/>
      <c r="L130" s="101"/>
      <c r="M130" s="90" t="s">
        <v>114</v>
      </c>
      <c r="N130" s="108">
        <f>+N121+N110+N98+N83+N49+N40+N25+N28</f>
        <v>418194</v>
      </c>
      <c r="O130" s="108">
        <f>+O121+O110+O98+O83+O49+O40+O25</f>
        <v>410485.96</v>
      </c>
      <c r="P130" s="37"/>
      <c r="Q130" s="37"/>
      <c r="R130" s="108">
        <f>+R121+R110+R98+R83+R49+R40+R25</f>
        <v>419115.42335898575</v>
      </c>
      <c r="S130" s="95">
        <f t="shared" si="31"/>
        <v>921.42335898574675</v>
      </c>
      <c r="T130" s="108"/>
    </row>
    <row r="131" spans="1:20" x14ac:dyDescent="0.2">
      <c r="A131" s="70"/>
      <c r="B131" s="86"/>
      <c r="C131" s="86"/>
      <c r="D131" s="116"/>
      <c r="E131" s="95"/>
      <c r="F131" s="95"/>
      <c r="G131" s="95"/>
      <c r="H131" s="95"/>
      <c r="I131" s="95"/>
      <c r="J131" s="95"/>
      <c r="K131" s="95"/>
      <c r="L131" s="70"/>
      <c r="M131" s="99"/>
      <c r="N131" s="75"/>
      <c r="O131" s="95"/>
      <c r="P131" s="96"/>
      <c r="Q131" s="96"/>
      <c r="R131" s="76"/>
      <c r="S131" s="76"/>
      <c r="T131" s="76"/>
    </row>
    <row r="132" spans="1:20" x14ac:dyDescent="0.2">
      <c r="B132" s="14"/>
      <c r="C132" s="11"/>
      <c r="D132" s="21"/>
      <c r="E132" s="8"/>
      <c r="F132" s="8"/>
      <c r="G132" s="8"/>
      <c r="H132" s="8"/>
      <c r="I132" s="8"/>
      <c r="J132" s="8"/>
      <c r="K132" s="12"/>
      <c r="L132" s="9"/>
      <c r="M132" s="10"/>
    </row>
    <row r="133" spans="1:20" hidden="1" x14ac:dyDescent="0.2">
      <c r="B133" s="11"/>
      <c r="C133" s="11"/>
      <c r="D133" s="22"/>
      <c r="E133" s="12"/>
      <c r="F133" s="12"/>
      <c r="G133" s="12"/>
      <c r="H133" s="12"/>
      <c r="I133" s="12"/>
      <c r="J133" s="12"/>
      <c r="K133" s="12"/>
      <c r="M133" s="10"/>
    </row>
    <row r="134" spans="1:20" hidden="1" x14ac:dyDescent="0.2">
      <c r="A134" s="2"/>
      <c r="B134" s="11" t="s">
        <v>115</v>
      </c>
      <c r="C134" s="11"/>
      <c r="D134" s="22"/>
      <c r="E134" s="12"/>
      <c r="F134" s="12"/>
      <c r="G134" s="12"/>
      <c r="H134" s="12"/>
      <c r="I134" s="12"/>
      <c r="J134" s="12"/>
      <c r="K134" s="12"/>
      <c r="M134" s="10"/>
    </row>
    <row r="135" spans="1:20" hidden="1" x14ac:dyDescent="0.2">
      <c r="B135" s="11" t="s">
        <v>116</v>
      </c>
      <c r="C135" s="11"/>
      <c r="D135" s="22"/>
      <c r="E135" s="12"/>
      <c r="F135" s="12"/>
      <c r="G135" s="12"/>
      <c r="H135" s="12"/>
      <c r="I135" s="12"/>
      <c r="J135" s="12"/>
      <c r="K135" s="12"/>
      <c r="M135" s="10"/>
    </row>
    <row r="136" spans="1:20" hidden="1" x14ac:dyDescent="0.25">
      <c r="B136" s="7" t="s">
        <v>117</v>
      </c>
      <c r="C136" s="7"/>
      <c r="D136" s="22"/>
      <c r="E136" s="12"/>
      <c r="F136" s="12"/>
      <c r="G136" s="12"/>
      <c r="H136" s="12"/>
      <c r="I136" s="12"/>
      <c r="J136" s="12"/>
      <c r="K136" s="13"/>
      <c r="M136" s="10"/>
    </row>
    <row r="137" spans="1:20" hidden="1" x14ac:dyDescent="0.25">
      <c r="B137" s="7" t="s">
        <v>118</v>
      </c>
      <c r="C137" s="7"/>
      <c r="D137" s="23"/>
      <c r="E137" s="13"/>
      <c r="F137" s="13"/>
      <c r="G137" s="13"/>
      <c r="H137" s="13"/>
      <c r="I137" s="13"/>
      <c r="J137" s="13"/>
      <c r="K137" s="13"/>
    </row>
    <row r="138" spans="1:20" hidden="1" x14ac:dyDescent="0.25">
      <c r="B138" s="7" t="s">
        <v>119</v>
      </c>
      <c r="C138" s="7"/>
      <c r="D138" s="23"/>
      <c r="E138" s="13"/>
      <c r="F138" s="13"/>
      <c r="G138" s="13"/>
      <c r="H138" s="13"/>
      <c r="I138" s="13"/>
      <c r="J138" s="13"/>
      <c r="K138" s="13"/>
    </row>
    <row r="139" spans="1:20" hidden="1" x14ac:dyDescent="0.25">
      <c r="B139" s="7" t="s">
        <v>120</v>
      </c>
      <c r="C139" s="7"/>
      <c r="D139" s="23"/>
      <c r="E139" s="13"/>
      <c r="F139" s="13"/>
      <c r="G139" s="13"/>
      <c r="H139" s="13"/>
      <c r="I139" s="13"/>
      <c r="J139" s="13"/>
      <c r="K139" s="13"/>
    </row>
    <row r="140" spans="1:20" hidden="1" x14ac:dyDescent="0.25">
      <c r="B140" s="7" t="s">
        <v>121</v>
      </c>
      <c r="C140" s="7"/>
      <c r="D140" s="23"/>
      <c r="E140" s="13"/>
      <c r="F140" s="13"/>
      <c r="G140" s="13"/>
      <c r="H140" s="13"/>
      <c r="I140" s="13"/>
      <c r="J140" s="13"/>
      <c r="K140" s="13"/>
    </row>
    <row r="141" spans="1:20" hidden="1" x14ac:dyDescent="0.25">
      <c r="B141" s="7" t="s">
        <v>122</v>
      </c>
      <c r="C141" s="7"/>
      <c r="D141" s="23"/>
      <c r="E141" s="13"/>
      <c r="F141" s="13"/>
      <c r="G141" s="13"/>
      <c r="H141" s="13"/>
      <c r="I141" s="13"/>
      <c r="J141" s="13"/>
      <c r="K141" s="13"/>
    </row>
    <row r="142" spans="1:20" hidden="1" x14ac:dyDescent="0.25">
      <c r="B142" s="7" t="s">
        <v>123</v>
      </c>
      <c r="C142" s="7"/>
      <c r="D142" s="23"/>
      <c r="E142" s="13"/>
      <c r="F142" s="13"/>
      <c r="G142" s="13"/>
      <c r="H142" s="13"/>
      <c r="I142" s="13"/>
      <c r="J142" s="13"/>
      <c r="K142" s="13"/>
    </row>
    <row r="143" spans="1:20" hidden="1" x14ac:dyDescent="0.2">
      <c r="B143" s="14"/>
      <c r="C143" s="14"/>
      <c r="D143" s="23"/>
      <c r="E143" s="13"/>
      <c r="F143" s="13"/>
      <c r="G143" s="13"/>
      <c r="H143" s="13"/>
      <c r="I143" s="13"/>
      <c r="J143" s="13"/>
      <c r="K143" s="13"/>
    </row>
    <row r="144" spans="1:20" hidden="1" x14ac:dyDescent="0.2">
      <c r="B144" s="14"/>
      <c r="C144" s="14"/>
      <c r="D144" s="23"/>
      <c r="E144" s="13"/>
      <c r="F144" s="13"/>
      <c r="G144" s="13"/>
      <c r="H144" s="13"/>
      <c r="I144" s="13"/>
      <c r="J144" s="13"/>
      <c r="K144" s="13"/>
    </row>
    <row r="145" spans="1:11" hidden="1" x14ac:dyDescent="0.25">
      <c r="B145" s="7"/>
      <c r="C145" s="7"/>
      <c r="D145" s="23"/>
      <c r="E145" s="13"/>
      <c r="F145" s="13"/>
      <c r="G145" s="13"/>
      <c r="H145" s="13"/>
      <c r="I145" s="13"/>
      <c r="J145" s="13"/>
      <c r="K145" s="13"/>
    </row>
    <row r="146" spans="1:11" hidden="1" x14ac:dyDescent="0.25">
      <c r="B146" s="7" t="s">
        <v>124</v>
      </c>
      <c r="C146" s="7"/>
      <c r="D146" s="23"/>
      <c r="E146" s="13"/>
      <c r="F146" s="13"/>
      <c r="G146" s="13"/>
      <c r="H146" s="13"/>
      <c r="I146" s="13"/>
      <c r="J146" s="13"/>
      <c r="K146" s="13"/>
    </row>
    <row r="147" spans="1:11" hidden="1" x14ac:dyDescent="0.25">
      <c r="B147" s="7"/>
      <c r="C147" s="7"/>
      <c r="D147" s="23"/>
      <c r="E147" s="13"/>
      <c r="F147" s="13"/>
      <c r="G147" s="13"/>
      <c r="H147" s="13"/>
      <c r="I147" s="13"/>
      <c r="J147" s="13"/>
      <c r="K147" s="13"/>
    </row>
    <row r="148" spans="1:11" hidden="1" x14ac:dyDescent="0.25">
      <c r="B148" s="7"/>
      <c r="C148" s="7"/>
      <c r="D148" s="23"/>
      <c r="E148" s="13"/>
      <c r="F148" s="13"/>
      <c r="G148" s="13"/>
      <c r="H148" s="13"/>
      <c r="I148" s="13"/>
      <c r="J148" s="13"/>
      <c r="K148" s="13"/>
    </row>
    <row r="149" spans="1:11" hidden="1" x14ac:dyDescent="0.25">
      <c r="B149" s="7"/>
      <c r="C149" s="7"/>
      <c r="D149" s="23"/>
      <c r="E149" s="13"/>
      <c r="F149" s="13"/>
      <c r="G149" s="13"/>
      <c r="H149" s="13"/>
      <c r="I149" s="13"/>
      <c r="J149" s="13"/>
      <c r="K149" s="13"/>
    </row>
    <row r="150" spans="1:11" hidden="1" x14ac:dyDescent="0.25">
      <c r="B150" s="7"/>
      <c r="C150" s="7"/>
      <c r="D150" s="23"/>
      <c r="E150" s="13"/>
      <c r="F150" s="13"/>
      <c r="G150" s="13"/>
      <c r="H150" s="13"/>
      <c r="I150" s="13"/>
      <c r="J150" s="13"/>
      <c r="K150" s="13"/>
    </row>
    <row r="151" spans="1:11" x14ac:dyDescent="0.25">
      <c r="B151" s="7"/>
      <c r="C151" s="7"/>
      <c r="D151" s="23"/>
      <c r="E151" s="13"/>
      <c r="F151" s="13"/>
      <c r="G151" s="13"/>
      <c r="H151" s="13"/>
      <c r="I151" s="13"/>
      <c r="J151" s="13"/>
      <c r="K151" s="13"/>
    </row>
    <row r="152" spans="1:11" x14ac:dyDescent="0.25">
      <c r="B152" s="38"/>
      <c r="C152" s="7"/>
      <c r="D152" s="23"/>
      <c r="E152" s="13"/>
      <c r="F152" s="13"/>
      <c r="G152" s="13"/>
      <c r="H152" s="13"/>
      <c r="I152" s="13"/>
      <c r="J152" s="13"/>
    </row>
    <row r="153" spans="1:11" x14ac:dyDescent="0.25">
      <c r="B153" s="15"/>
      <c r="C153" s="15"/>
      <c r="D153" s="24"/>
      <c r="I153" s="18"/>
      <c r="J153" s="18"/>
      <c r="K153" s="18"/>
    </row>
    <row r="154" spans="1:11" x14ac:dyDescent="0.25">
      <c r="A154" s="17"/>
      <c r="B154" s="19"/>
      <c r="C154" s="19"/>
      <c r="D154" s="25"/>
      <c r="E154" s="18"/>
      <c r="F154" s="18"/>
      <c r="G154" s="18"/>
      <c r="H154" s="18"/>
      <c r="I154" s="18"/>
      <c r="J154" s="18"/>
      <c r="K154" s="18"/>
    </row>
    <row r="155" spans="1:11" x14ac:dyDescent="0.25">
      <c r="A155" s="17"/>
      <c r="B155" s="19"/>
      <c r="C155" s="19"/>
      <c r="D155" s="25"/>
      <c r="E155" s="18"/>
      <c r="F155" s="18"/>
      <c r="G155" s="18"/>
      <c r="H155" s="18"/>
      <c r="I155" s="18"/>
      <c r="J155" s="18"/>
      <c r="K155" s="18"/>
    </row>
    <row r="156" spans="1:11" x14ac:dyDescent="0.25">
      <c r="A156" s="17"/>
      <c r="B156" s="19"/>
      <c r="C156" s="19"/>
      <c r="D156" s="25"/>
      <c r="E156" s="18"/>
      <c r="F156" s="18"/>
      <c r="G156" s="18"/>
      <c r="H156" s="18"/>
      <c r="I156" s="18"/>
      <c r="J156" s="18"/>
      <c r="K156" s="18"/>
    </row>
    <row r="157" spans="1:11" x14ac:dyDescent="0.25">
      <c r="A157" s="17"/>
      <c r="B157" s="19"/>
      <c r="C157" s="19"/>
      <c r="D157" s="25"/>
      <c r="E157" s="18"/>
      <c r="F157" s="18"/>
      <c r="G157" s="18"/>
      <c r="H157" s="18"/>
      <c r="I157" s="18"/>
      <c r="J157" s="18"/>
      <c r="K157" s="18"/>
    </row>
    <row r="158" spans="1:11" x14ac:dyDescent="0.25">
      <c r="A158" s="17"/>
      <c r="B158" s="19"/>
      <c r="C158" s="19"/>
      <c r="D158" s="25"/>
      <c r="E158" s="18"/>
      <c r="F158" s="18"/>
      <c r="G158" s="18"/>
      <c r="H158" s="18"/>
      <c r="I158" s="18"/>
      <c r="J158" s="18"/>
      <c r="K158" s="18"/>
    </row>
    <row r="159" spans="1:11" x14ac:dyDescent="0.25">
      <c r="A159" s="17"/>
      <c r="B159" s="19"/>
      <c r="C159" s="19"/>
      <c r="D159" s="25"/>
      <c r="E159" s="18"/>
      <c r="F159" s="18"/>
      <c r="G159" s="18"/>
      <c r="H159" s="18"/>
      <c r="I159" s="18"/>
      <c r="J159" s="18"/>
    </row>
    <row r="160" spans="1:11" x14ac:dyDescent="0.25">
      <c r="B160" s="16"/>
      <c r="C160" s="16"/>
      <c r="D160" s="26"/>
    </row>
    <row r="164" spans="2:14" x14ac:dyDescent="0.25">
      <c r="N164" s="28"/>
    </row>
    <row r="165" spans="2:14" x14ac:dyDescent="0.25">
      <c r="B165" s="29"/>
      <c r="C165" s="29"/>
    </row>
  </sheetData>
  <phoneticPr fontId="11" type="noConversion"/>
  <conditionalFormatting sqref="I6:I119 I121:I130">
    <cfRule type="cellIs" dxfId="1" priority="2" operator="lessThan">
      <formula>0</formula>
    </cfRule>
  </conditionalFormatting>
  <conditionalFormatting sqref="S1:S1048576">
    <cfRule type="cellIs" dxfId="0" priority="1" operator="lessThan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8" scale="63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EEE4B3-8594-4105-9B06-870840920EC0}">
  <dimension ref="A1:M132"/>
  <sheetViews>
    <sheetView topLeftCell="A13" zoomScale="162" zoomScaleNormal="162" workbookViewId="0">
      <selection activeCell="E104" sqref="E104:E114"/>
    </sheetView>
  </sheetViews>
  <sheetFormatPr defaultRowHeight="15" x14ac:dyDescent="0.25"/>
  <cols>
    <col min="2" max="2" width="26.85546875" bestFit="1" customWidth="1"/>
    <col min="3" max="3" width="22.7109375" customWidth="1"/>
    <col min="7" max="7" width="11" bestFit="1" customWidth="1"/>
  </cols>
  <sheetData>
    <row r="1" spans="1:12" x14ac:dyDescent="0.25">
      <c r="A1" t="s">
        <v>235</v>
      </c>
    </row>
    <row r="3" spans="1:12" x14ac:dyDescent="0.25">
      <c r="A3" t="s">
        <v>236</v>
      </c>
    </row>
    <row r="4" spans="1:12" x14ac:dyDescent="0.25">
      <c r="A4" t="s">
        <v>149</v>
      </c>
    </row>
    <row r="6" spans="1:12" ht="60" x14ac:dyDescent="0.25">
      <c r="D6" t="s">
        <v>150</v>
      </c>
      <c r="E6" s="33" t="s">
        <v>237</v>
      </c>
      <c r="F6" s="33" t="s">
        <v>238</v>
      </c>
      <c r="G6" s="33" t="s">
        <v>151</v>
      </c>
      <c r="H6" s="33" t="s">
        <v>239</v>
      </c>
      <c r="I6" t="s">
        <v>152</v>
      </c>
      <c r="J6" t="s">
        <v>240</v>
      </c>
      <c r="K6" t="s">
        <v>230</v>
      </c>
    </row>
    <row r="7" spans="1:12" x14ac:dyDescent="0.25">
      <c r="A7">
        <v>1108</v>
      </c>
      <c r="B7" t="s">
        <v>155</v>
      </c>
      <c r="D7" s="32">
        <v>1030</v>
      </c>
      <c r="E7">
        <f>+D7-K7</f>
        <v>1030</v>
      </c>
      <c r="F7" s="32">
        <v>1363</v>
      </c>
      <c r="G7">
        <v>42</v>
      </c>
      <c r="H7" s="30">
        <v>0.83</v>
      </c>
      <c r="I7" s="31">
        <v>1.042</v>
      </c>
    </row>
    <row r="8" spans="1:12" x14ac:dyDescent="0.25">
      <c r="A8">
        <v>1111</v>
      </c>
      <c r="B8" t="s">
        <v>309</v>
      </c>
      <c r="D8">
        <v>175</v>
      </c>
      <c r="E8">
        <f t="shared" ref="E8:E71" si="0">+D8-K8</f>
        <v>175</v>
      </c>
      <c r="F8" s="32">
        <v>0</v>
      </c>
      <c r="G8">
        <v>385</v>
      </c>
      <c r="H8" s="30">
        <v>0.83</v>
      </c>
      <c r="I8" s="31">
        <v>0.75900000000000001</v>
      </c>
    </row>
    <row r="9" spans="1:12" x14ac:dyDescent="0.25">
      <c r="A9">
        <v>1112</v>
      </c>
      <c r="B9" t="s">
        <v>310</v>
      </c>
      <c r="D9">
        <v>406</v>
      </c>
      <c r="E9">
        <f t="shared" si="0"/>
        <v>406</v>
      </c>
      <c r="F9">
        <v>0</v>
      </c>
      <c r="G9">
        <v>370</v>
      </c>
      <c r="H9" s="30">
        <v>0.83</v>
      </c>
      <c r="I9" s="31">
        <v>0.47199999999999998</v>
      </c>
    </row>
    <row r="10" spans="1:12" x14ac:dyDescent="0.25">
      <c r="A10">
        <v>1121</v>
      </c>
      <c r="B10" t="s">
        <v>156</v>
      </c>
      <c r="D10">
        <v>912</v>
      </c>
      <c r="E10">
        <f t="shared" si="0"/>
        <v>912</v>
      </c>
      <c r="F10" s="32">
        <v>1585</v>
      </c>
      <c r="G10">
        <v>408</v>
      </c>
      <c r="H10" s="30">
        <v>0.83</v>
      </c>
      <c r="I10" s="31">
        <v>1.272</v>
      </c>
    </row>
    <row r="11" spans="1:12" x14ac:dyDescent="0.25">
      <c r="A11">
        <v>1123</v>
      </c>
      <c r="B11" t="s">
        <v>157</v>
      </c>
      <c r="D11">
        <v>224</v>
      </c>
      <c r="E11">
        <f t="shared" si="0"/>
        <v>224</v>
      </c>
      <c r="F11" s="32">
        <v>911</v>
      </c>
      <c r="G11">
        <v>35</v>
      </c>
      <c r="H11" s="30">
        <v>0.83</v>
      </c>
      <c r="I11" s="31">
        <v>0.99199999999999999</v>
      </c>
    </row>
    <row r="12" spans="1:12" x14ac:dyDescent="0.25">
      <c r="A12">
        <v>1124</v>
      </c>
      <c r="B12" t="s">
        <v>158</v>
      </c>
      <c r="D12" s="32">
        <v>2398</v>
      </c>
      <c r="E12">
        <f t="shared" si="0"/>
        <v>2398</v>
      </c>
      <c r="F12">
        <v>1944</v>
      </c>
      <c r="G12">
        <v>352</v>
      </c>
      <c r="H12" s="30">
        <v>0.83</v>
      </c>
      <c r="I12" s="31">
        <v>0.41399999999999998</v>
      </c>
    </row>
    <row r="13" spans="1:12" x14ac:dyDescent="0.25">
      <c r="A13">
        <v>1125</v>
      </c>
      <c r="B13" t="s">
        <v>159</v>
      </c>
      <c r="D13" s="32">
        <v>7286</v>
      </c>
      <c r="E13">
        <f t="shared" si="0"/>
        <v>7286</v>
      </c>
      <c r="F13">
        <v>4332</v>
      </c>
      <c r="G13">
        <v>143</v>
      </c>
      <c r="H13" s="30">
        <v>0.83</v>
      </c>
      <c r="I13" s="31">
        <v>0.755</v>
      </c>
    </row>
    <row r="14" spans="1:12" x14ac:dyDescent="0.25">
      <c r="A14">
        <v>1141</v>
      </c>
      <c r="B14" t="s">
        <v>160</v>
      </c>
      <c r="D14">
        <v>15</v>
      </c>
      <c r="E14">
        <f t="shared" si="0"/>
        <v>15</v>
      </c>
      <c r="F14">
        <v>208</v>
      </c>
      <c r="G14">
        <v>139</v>
      </c>
      <c r="H14" s="30">
        <v>0.83</v>
      </c>
      <c r="I14" s="31">
        <v>1.0720000000000001</v>
      </c>
    </row>
    <row r="15" spans="1:12" x14ac:dyDescent="0.25">
      <c r="A15">
        <v>1151</v>
      </c>
      <c r="B15" t="s">
        <v>161</v>
      </c>
      <c r="D15">
        <v>550</v>
      </c>
      <c r="E15">
        <f t="shared" si="0"/>
        <v>550</v>
      </c>
      <c r="F15" s="32">
        <v>549</v>
      </c>
      <c r="G15" s="32">
        <v>1438</v>
      </c>
      <c r="H15" s="30">
        <v>0.83</v>
      </c>
      <c r="I15" s="31">
        <v>4.1000000000000002E-2</v>
      </c>
    </row>
    <row r="16" spans="1:12" x14ac:dyDescent="0.25">
      <c r="A16">
        <v>1156</v>
      </c>
      <c r="B16" t="s">
        <v>278</v>
      </c>
      <c r="D16" s="32">
        <v>1370</v>
      </c>
      <c r="E16">
        <f t="shared" si="0"/>
        <v>1370</v>
      </c>
      <c r="F16" s="32">
        <v>0</v>
      </c>
      <c r="G16">
        <v>495</v>
      </c>
      <c r="H16" s="30">
        <v>0.83</v>
      </c>
      <c r="I16" s="31">
        <v>0.67</v>
      </c>
      <c r="L16" s="34"/>
    </row>
    <row r="17" spans="1:13" x14ac:dyDescent="0.25">
      <c r="A17">
        <v>1157</v>
      </c>
      <c r="B17" t="s">
        <v>231</v>
      </c>
      <c r="D17" s="32">
        <v>2428</v>
      </c>
      <c r="E17">
        <f t="shared" si="0"/>
        <v>2428</v>
      </c>
      <c r="F17" s="32">
        <v>2499</v>
      </c>
      <c r="G17">
        <v>235</v>
      </c>
      <c r="H17" s="30">
        <v>0.83</v>
      </c>
      <c r="I17" s="31">
        <v>0</v>
      </c>
    </row>
    <row r="18" spans="1:13" x14ac:dyDescent="0.25">
      <c r="A18">
        <v>1158</v>
      </c>
      <c r="B18" t="s">
        <v>162</v>
      </c>
      <c r="D18">
        <v>0</v>
      </c>
      <c r="E18">
        <f t="shared" si="0"/>
        <v>0</v>
      </c>
      <c r="F18">
        <v>1500</v>
      </c>
      <c r="G18">
        <v>1</v>
      </c>
      <c r="H18" s="30">
        <v>0.83</v>
      </c>
      <c r="I18" s="31">
        <v>0</v>
      </c>
    </row>
    <row r="19" spans="1:13" x14ac:dyDescent="0.25">
      <c r="A19">
        <v>1161</v>
      </c>
      <c r="B19" t="s">
        <v>163</v>
      </c>
      <c r="D19" s="32">
        <v>2455</v>
      </c>
      <c r="E19">
        <f t="shared" si="0"/>
        <v>2455</v>
      </c>
      <c r="F19" s="32">
        <v>2026</v>
      </c>
      <c r="H19" s="30">
        <v>0.83</v>
      </c>
      <c r="I19" s="31">
        <v>1</v>
      </c>
    </row>
    <row r="20" spans="1:13" x14ac:dyDescent="0.25">
      <c r="A20">
        <v>1162</v>
      </c>
      <c r="B20" t="s">
        <v>225</v>
      </c>
      <c r="D20">
        <v>21</v>
      </c>
      <c r="E20">
        <f t="shared" si="0"/>
        <v>21</v>
      </c>
      <c r="F20" s="32">
        <v>0</v>
      </c>
      <c r="H20" s="30">
        <v>0.83</v>
      </c>
      <c r="I20" s="31">
        <v>2.1880000000000002</v>
      </c>
    </row>
    <row r="21" spans="1:13" x14ac:dyDescent="0.25">
      <c r="A21">
        <v>1163</v>
      </c>
      <c r="B21" t="s">
        <v>311</v>
      </c>
      <c r="D21">
        <v>40</v>
      </c>
      <c r="E21">
        <f t="shared" si="0"/>
        <v>40</v>
      </c>
      <c r="F21">
        <v>0</v>
      </c>
      <c r="G21">
        <v>4331</v>
      </c>
      <c r="H21" s="30">
        <v>0.83</v>
      </c>
      <c r="I21" s="31">
        <v>0.90900000000000003</v>
      </c>
    </row>
    <row r="22" spans="1:13" x14ac:dyDescent="0.25">
      <c r="A22">
        <v>1166</v>
      </c>
      <c r="B22" t="s">
        <v>279</v>
      </c>
      <c r="D22" s="32">
        <v>1997</v>
      </c>
      <c r="E22">
        <f t="shared" si="0"/>
        <v>1997</v>
      </c>
      <c r="F22" s="32">
        <v>0</v>
      </c>
      <c r="G22" s="32">
        <v>18294</v>
      </c>
      <c r="H22" s="30">
        <v>0.83</v>
      </c>
      <c r="I22" s="31">
        <v>0.41399999999999998</v>
      </c>
    </row>
    <row r="23" spans="1:13" x14ac:dyDescent="0.25">
      <c r="A23">
        <v>1176</v>
      </c>
      <c r="B23" t="s">
        <v>153</v>
      </c>
      <c r="D23" s="32">
        <v>286321</v>
      </c>
      <c r="E23">
        <f t="shared" si="0"/>
        <v>286321</v>
      </c>
      <c r="F23" s="32">
        <v>286321</v>
      </c>
      <c r="G23" s="32">
        <v>16104</v>
      </c>
      <c r="H23" s="30">
        <v>0.83</v>
      </c>
      <c r="I23" s="31">
        <v>1.786</v>
      </c>
      <c r="M23" s="32"/>
    </row>
    <row r="24" spans="1:13" x14ac:dyDescent="0.25">
      <c r="A24">
        <v>1196</v>
      </c>
      <c r="B24" t="s">
        <v>154</v>
      </c>
      <c r="D24" s="32">
        <v>11380</v>
      </c>
      <c r="E24">
        <f t="shared" si="0"/>
        <v>11380</v>
      </c>
      <c r="F24" s="32">
        <v>10671</v>
      </c>
      <c r="G24" s="32">
        <v>8680</v>
      </c>
      <c r="H24" s="30">
        <v>0.83</v>
      </c>
      <c r="I24" s="31">
        <v>0.69799999999999995</v>
      </c>
    </row>
    <row r="25" spans="1:13" x14ac:dyDescent="0.25">
      <c r="A25">
        <v>1197</v>
      </c>
      <c r="B25" t="s">
        <v>280</v>
      </c>
      <c r="D25" s="32">
        <v>1997</v>
      </c>
      <c r="E25">
        <f t="shared" si="0"/>
        <v>1997</v>
      </c>
      <c r="F25" s="32">
        <v>0</v>
      </c>
      <c r="G25" s="32">
        <v>75</v>
      </c>
      <c r="H25" s="30">
        <v>0.83</v>
      </c>
      <c r="I25" s="31">
        <v>1.0029999999999999</v>
      </c>
    </row>
    <row r="26" spans="1:13" x14ac:dyDescent="0.25">
      <c r="A26">
        <v>1201</v>
      </c>
      <c r="B26" t="s">
        <v>312</v>
      </c>
      <c r="D26" s="32">
        <v>32920</v>
      </c>
      <c r="E26">
        <f t="shared" si="0"/>
        <v>32920</v>
      </c>
      <c r="F26" s="32">
        <v>37990</v>
      </c>
      <c r="G26" s="32">
        <v>4179</v>
      </c>
      <c r="H26" s="30">
        <v>0.83</v>
      </c>
      <c r="I26" s="31">
        <v>1.1970000000000001</v>
      </c>
    </row>
    <row r="27" spans="1:13" x14ac:dyDescent="0.25">
      <c r="A27">
        <v>1202</v>
      </c>
      <c r="B27" t="s">
        <v>313</v>
      </c>
      <c r="D27" s="32">
        <v>41328</v>
      </c>
      <c r="E27">
        <f t="shared" si="0"/>
        <v>41328</v>
      </c>
      <c r="F27" s="32">
        <v>44298</v>
      </c>
      <c r="G27" s="32">
        <v>9918</v>
      </c>
      <c r="H27" s="30">
        <v>0.83</v>
      </c>
      <c r="I27" s="31">
        <v>0</v>
      </c>
    </row>
    <row r="28" spans="1:13" x14ac:dyDescent="0.25">
      <c r="A28">
        <v>1203</v>
      </c>
      <c r="B28" t="s">
        <v>314</v>
      </c>
      <c r="D28" s="32">
        <v>16511</v>
      </c>
      <c r="E28">
        <f t="shared" si="0"/>
        <v>16511</v>
      </c>
      <c r="F28" s="32">
        <v>16167</v>
      </c>
      <c r="G28" s="32">
        <v>414</v>
      </c>
      <c r="H28" s="30">
        <v>0.83</v>
      </c>
      <c r="I28" s="31">
        <v>0.85399999999999998</v>
      </c>
    </row>
    <row r="29" spans="1:13" x14ac:dyDescent="0.25">
      <c r="A29">
        <v>1204</v>
      </c>
      <c r="B29" t="s">
        <v>315</v>
      </c>
      <c r="D29" s="32">
        <v>25426</v>
      </c>
      <c r="E29">
        <f t="shared" si="0"/>
        <v>25426</v>
      </c>
      <c r="F29" s="32">
        <v>32359</v>
      </c>
      <c r="G29" s="32">
        <v>10332</v>
      </c>
      <c r="H29" s="30">
        <v>0.83</v>
      </c>
      <c r="I29" s="31">
        <v>0.39100000000000001</v>
      </c>
    </row>
    <row r="30" spans="1:13" x14ac:dyDescent="0.25">
      <c r="A30">
        <v>1205</v>
      </c>
      <c r="B30" t="s">
        <v>316</v>
      </c>
      <c r="D30" s="32">
        <v>26812</v>
      </c>
      <c r="E30">
        <f t="shared" si="0"/>
        <v>26812</v>
      </c>
      <c r="F30" s="32">
        <v>32446</v>
      </c>
      <c r="G30" s="32">
        <v>3405</v>
      </c>
      <c r="H30" s="30">
        <v>0.83</v>
      </c>
      <c r="I30" s="31">
        <v>0.52900000000000003</v>
      </c>
    </row>
    <row r="31" spans="1:13" x14ac:dyDescent="0.25">
      <c r="A31">
        <v>1207</v>
      </c>
      <c r="B31" t="s">
        <v>317</v>
      </c>
      <c r="D31" s="32">
        <v>16170</v>
      </c>
      <c r="E31">
        <f t="shared" si="0"/>
        <v>16170</v>
      </c>
      <c r="F31">
        <v>32466</v>
      </c>
      <c r="G31" s="32">
        <v>928</v>
      </c>
      <c r="H31" s="30">
        <v>0.83</v>
      </c>
      <c r="I31" s="31">
        <v>7.1999999999999995E-2</v>
      </c>
    </row>
    <row r="32" spans="1:13" x14ac:dyDescent="0.25">
      <c r="A32">
        <v>1208</v>
      </c>
      <c r="B32" t="s">
        <v>318</v>
      </c>
      <c r="D32" s="32">
        <v>16922</v>
      </c>
      <c r="E32">
        <f t="shared" si="0"/>
        <v>11922</v>
      </c>
      <c r="F32" s="32">
        <v>13658</v>
      </c>
      <c r="G32" s="32">
        <f>+F32-E32</f>
        <v>1736</v>
      </c>
      <c r="H32" s="30">
        <v>0.83</v>
      </c>
      <c r="I32" s="31">
        <v>5.157</v>
      </c>
      <c r="K32">
        <v>5000</v>
      </c>
      <c r="M32" s="32"/>
    </row>
    <row r="33" spans="1:13" x14ac:dyDescent="0.25">
      <c r="A33">
        <v>1209</v>
      </c>
      <c r="B33" t="s">
        <v>319</v>
      </c>
      <c r="D33" s="32">
        <v>2773</v>
      </c>
      <c r="E33">
        <f t="shared" si="0"/>
        <v>2773</v>
      </c>
      <c r="F33" s="32">
        <v>3220</v>
      </c>
      <c r="G33">
        <v>275</v>
      </c>
      <c r="H33" s="30">
        <v>0.83</v>
      </c>
      <c r="I33" s="31">
        <v>0.89400000000000002</v>
      </c>
    </row>
    <row r="34" spans="1:13" x14ac:dyDescent="0.25">
      <c r="A34">
        <v>1210</v>
      </c>
      <c r="B34" t="s">
        <v>320</v>
      </c>
      <c r="D34" s="32">
        <v>6346</v>
      </c>
      <c r="E34">
        <f t="shared" si="0"/>
        <v>6346</v>
      </c>
      <c r="F34">
        <v>13154</v>
      </c>
      <c r="G34">
        <v>2017</v>
      </c>
      <c r="H34" s="30">
        <v>0.83</v>
      </c>
      <c r="I34" s="31">
        <v>0</v>
      </c>
    </row>
    <row r="35" spans="1:13" x14ac:dyDescent="0.25">
      <c r="A35">
        <v>1338</v>
      </c>
      <c r="B35" t="s">
        <v>169</v>
      </c>
      <c r="D35">
        <v>426</v>
      </c>
      <c r="E35">
        <f t="shared" si="0"/>
        <v>426</v>
      </c>
      <c r="F35" s="32">
        <v>500</v>
      </c>
      <c r="G35" s="32">
        <v>3768</v>
      </c>
      <c r="H35" s="30">
        <v>0.83</v>
      </c>
      <c r="I35" s="31">
        <v>0.36899999999999999</v>
      </c>
    </row>
    <row r="36" spans="1:13" x14ac:dyDescent="0.25">
      <c r="A36">
        <v>1339</v>
      </c>
      <c r="B36" t="s">
        <v>170</v>
      </c>
      <c r="D36" s="32">
        <v>5955</v>
      </c>
      <c r="E36">
        <f t="shared" si="0"/>
        <v>180</v>
      </c>
      <c r="F36" s="32">
        <v>1560</v>
      </c>
      <c r="G36" s="32">
        <v>2752</v>
      </c>
      <c r="H36" s="30">
        <v>0.83</v>
      </c>
      <c r="I36" s="31">
        <v>3.0390000000000001</v>
      </c>
      <c r="K36">
        <v>5775</v>
      </c>
    </row>
    <row r="37" spans="1:13" x14ac:dyDescent="0.25">
      <c r="A37">
        <v>1348</v>
      </c>
      <c r="B37" t="s">
        <v>171</v>
      </c>
      <c r="D37" s="32">
        <v>1966</v>
      </c>
      <c r="E37">
        <f t="shared" si="0"/>
        <v>1966</v>
      </c>
      <c r="F37" s="32">
        <v>2703</v>
      </c>
      <c r="G37" s="32"/>
      <c r="H37" s="30">
        <v>0.83</v>
      </c>
      <c r="I37" s="31">
        <v>1</v>
      </c>
    </row>
    <row r="38" spans="1:13" x14ac:dyDescent="0.25">
      <c r="A38">
        <v>1349</v>
      </c>
      <c r="B38" t="s">
        <v>281</v>
      </c>
      <c r="D38">
        <v>50</v>
      </c>
      <c r="E38">
        <f t="shared" si="0"/>
        <v>50</v>
      </c>
      <c r="F38">
        <v>0</v>
      </c>
      <c r="H38" s="30">
        <v>0.83</v>
      </c>
      <c r="I38" s="31">
        <v>1.1910000000000001</v>
      </c>
      <c r="K38" s="32"/>
    </row>
    <row r="39" spans="1:13" x14ac:dyDescent="0.25">
      <c r="A39">
        <v>1372</v>
      </c>
      <c r="B39" t="s">
        <v>172</v>
      </c>
      <c r="D39">
        <v>0</v>
      </c>
      <c r="E39">
        <f t="shared" si="0"/>
        <v>0</v>
      </c>
      <c r="F39" s="32">
        <v>2017</v>
      </c>
      <c r="H39" s="30">
        <v>0.83</v>
      </c>
      <c r="I39" s="31">
        <v>0</v>
      </c>
    </row>
    <row r="40" spans="1:13" x14ac:dyDescent="0.25">
      <c r="A40">
        <v>1373</v>
      </c>
      <c r="B40" t="s">
        <v>173</v>
      </c>
      <c r="D40" s="32">
        <v>2962</v>
      </c>
      <c r="E40">
        <f t="shared" si="0"/>
        <v>2962</v>
      </c>
      <c r="F40" s="32">
        <v>4576</v>
      </c>
      <c r="H40" s="30">
        <v>0.83</v>
      </c>
      <c r="I40" s="31">
        <v>0</v>
      </c>
    </row>
    <row r="41" spans="1:13" x14ac:dyDescent="0.25">
      <c r="A41">
        <v>1375</v>
      </c>
      <c r="B41" t="s">
        <v>174</v>
      </c>
      <c r="D41" s="32">
        <v>1557</v>
      </c>
      <c r="E41">
        <f t="shared" si="0"/>
        <v>1557</v>
      </c>
      <c r="F41" s="32">
        <v>2077</v>
      </c>
      <c r="H41" s="30">
        <v>0.83</v>
      </c>
      <c r="I41" s="31">
        <v>4.8</v>
      </c>
      <c r="K41" s="32"/>
    </row>
    <row r="42" spans="1:13" x14ac:dyDescent="0.25">
      <c r="A42">
        <v>1383</v>
      </c>
      <c r="B42" t="s">
        <v>282</v>
      </c>
      <c r="D42">
        <v>70</v>
      </c>
      <c r="E42">
        <f t="shared" si="0"/>
        <v>70</v>
      </c>
      <c r="F42">
        <v>0</v>
      </c>
      <c r="H42" s="30">
        <v>0.83</v>
      </c>
      <c r="I42" s="31">
        <v>0</v>
      </c>
      <c r="M42" s="32"/>
    </row>
    <row r="43" spans="1:13" x14ac:dyDescent="0.25">
      <c r="A43">
        <v>1384</v>
      </c>
      <c r="B43" t="s">
        <v>165</v>
      </c>
      <c r="D43">
        <v>375</v>
      </c>
      <c r="E43">
        <f t="shared" si="0"/>
        <v>375</v>
      </c>
      <c r="F43" s="32">
        <v>1250</v>
      </c>
      <c r="G43">
        <v>51</v>
      </c>
      <c r="H43" s="30">
        <v>0.83</v>
      </c>
      <c r="I43" s="31">
        <v>0.94599999999999995</v>
      </c>
    </row>
    <row r="44" spans="1:13" x14ac:dyDescent="0.25">
      <c r="A44">
        <v>1385</v>
      </c>
      <c r="B44" t="s">
        <v>166</v>
      </c>
      <c r="D44" s="32">
        <v>2203</v>
      </c>
      <c r="E44">
        <f t="shared" si="0"/>
        <v>2203</v>
      </c>
      <c r="F44">
        <v>2308</v>
      </c>
      <c r="G44">
        <v>204</v>
      </c>
      <c r="H44" s="30">
        <v>0.83</v>
      </c>
      <c r="I44" s="31">
        <v>0.80600000000000005</v>
      </c>
    </row>
    <row r="45" spans="1:13" x14ac:dyDescent="0.25">
      <c r="A45">
        <v>1391</v>
      </c>
      <c r="B45" t="s">
        <v>167</v>
      </c>
      <c r="D45">
        <v>0</v>
      </c>
      <c r="E45">
        <f t="shared" si="0"/>
        <v>0</v>
      </c>
      <c r="F45" s="32">
        <v>1200</v>
      </c>
      <c r="G45">
        <v>1644</v>
      </c>
      <c r="H45" s="30">
        <v>0.83</v>
      </c>
      <c r="I45" s="31">
        <v>2.3929999999999998</v>
      </c>
    </row>
    <row r="46" spans="1:13" x14ac:dyDescent="0.25">
      <c r="A46">
        <v>1392</v>
      </c>
      <c r="B46" t="s">
        <v>168</v>
      </c>
      <c r="D46" s="32">
        <v>1200</v>
      </c>
      <c r="E46">
        <f t="shared" si="0"/>
        <v>1200</v>
      </c>
      <c r="F46">
        <v>250</v>
      </c>
      <c r="G46" s="32">
        <v>807</v>
      </c>
      <c r="H46" s="30">
        <v>0.83</v>
      </c>
      <c r="I46" s="31">
        <v>0</v>
      </c>
    </row>
    <row r="47" spans="1:13" x14ac:dyDescent="0.25">
      <c r="A47">
        <v>1413</v>
      </c>
      <c r="B47" t="s">
        <v>177</v>
      </c>
      <c r="D47">
        <v>595</v>
      </c>
      <c r="E47">
        <f t="shared" si="0"/>
        <v>595</v>
      </c>
      <c r="F47" s="32">
        <v>1036</v>
      </c>
      <c r="G47">
        <v>107</v>
      </c>
      <c r="H47" s="30">
        <v>0.83</v>
      </c>
      <c r="I47" s="31">
        <v>0.94599999999999995</v>
      </c>
    </row>
    <row r="48" spans="1:13" x14ac:dyDescent="0.25">
      <c r="A48">
        <v>1414</v>
      </c>
      <c r="B48" t="s">
        <v>178</v>
      </c>
      <c r="D48">
        <v>411</v>
      </c>
      <c r="E48">
        <f t="shared" si="0"/>
        <v>411</v>
      </c>
      <c r="F48" s="32">
        <v>682</v>
      </c>
      <c r="G48">
        <v>892</v>
      </c>
      <c r="H48" s="30">
        <v>0.83</v>
      </c>
      <c r="I48" s="31">
        <v>0.108</v>
      </c>
    </row>
    <row r="49" spans="1:13" x14ac:dyDescent="0.25">
      <c r="A49">
        <v>1415</v>
      </c>
      <c r="B49" t="s">
        <v>179</v>
      </c>
      <c r="D49">
        <v>969</v>
      </c>
      <c r="E49">
        <f t="shared" si="0"/>
        <v>969</v>
      </c>
      <c r="F49" s="32">
        <v>1100</v>
      </c>
      <c r="G49">
        <v>49864</v>
      </c>
      <c r="H49" s="30">
        <v>0.83</v>
      </c>
      <c r="I49" s="31">
        <v>15.666</v>
      </c>
      <c r="M49" s="32"/>
    </row>
    <row r="50" spans="1:13" x14ac:dyDescent="0.25">
      <c r="A50">
        <v>1436</v>
      </c>
      <c r="B50" t="s">
        <v>180</v>
      </c>
      <c r="D50" s="32">
        <v>2360</v>
      </c>
      <c r="E50">
        <f t="shared" si="0"/>
        <v>0</v>
      </c>
      <c r="F50" s="32">
        <v>0</v>
      </c>
      <c r="G50" s="32">
        <v>4391</v>
      </c>
      <c r="H50" s="30">
        <v>0.83</v>
      </c>
      <c r="I50" s="31">
        <v>2.464</v>
      </c>
      <c r="K50">
        <v>2360</v>
      </c>
      <c r="M50" s="32"/>
    </row>
    <row r="51" spans="1:13" x14ac:dyDescent="0.25">
      <c r="A51">
        <v>1439</v>
      </c>
      <c r="B51" t="s">
        <v>181</v>
      </c>
      <c r="D51" s="32">
        <v>3231</v>
      </c>
      <c r="E51">
        <f t="shared" si="0"/>
        <v>3231</v>
      </c>
      <c r="F51" s="32">
        <v>2438</v>
      </c>
      <c r="G51" s="32">
        <v>114</v>
      </c>
      <c r="H51" s="30">
        <v>0.83</v>
      </c>
      <c r="I51" s="31">
        <v>1.0569999999999999</v>
      </c>
    </row>
    <row r="52" spans="1:13" x14ac:dyDescent="0.25">
      <c r="A52">
        <v>1440</v>
      </c>
      <c r="B52" t="s">
        <v>182</v>
      </c>
      <c r="D52">
        <v>312</v>
      </c>
      <c r="E52">
        <f t="shared" si="0"/>
        <v>312</v>
      </c>
      <c r="F52">
        <v>1000</v>
      </c>
      <c r="G52">
        <v>300</v>
      </c>
      <c r="H52" s="30">
        <v>0.83</v>
      </c>
      <c r="I52" s="31">
        <v>0</v>
      </c>
    </row>
    <row r="53" spans="1:13" x14ac:dyDescent="0.25">
      <c r="A53">
        <v>1441</v>
      </c>
      <c r="B53" t="s">
        <v>183</v>
      </c>
      <c r="D53" s="32">
        <v>12164</v>
      </c>
      <c r="E53">
        <f t="shared" si="0"/>
        <v>5146</v>
      </c>
      <c r="F53" s="32">
        <v>3066</v>
      </c>
      <c r="G53">
        <v>868</v>
      </c>
      <c r="H53" s="30">
        <v>0.83</v>
      </c>
      <c r="I53" s="31">
        <v>0.56599999999999995</v>
      </c>
      <c r="K53">
        <v>7018</v>
      </c>
    </row>
    <row r="54" spans="1:13" x14ac:dyDescent="0.25">
      <c r="A54">
        <v>1443</v>
      </c>
      <c r="B54" t="s">
        <v>184</v>
      </c>
      <c r="D54" s="32">
        <v>3602</v>
      </c>
      <c r="E54">
        <f t="shared" si="0"/>
        <v>3547</v>
      </c>
      <c r="F54">
        <v>3684</v>
      </c>
      <c r="G54">
        <v>125</v>
      </c>
      <c r="H54" s="30">
        <v>0.83</v>
      </c>
      <c r="I54" s="31">
        <v>0.85699999999999998</v>
      </c>
      <c r="K54">
        <v>55</v>
      </c>
    </row>
    <row r="55" spans="1:13" x14ac:dyDescent="0.25">
      <c r="A55">
        <v>1444</v>
      </c>
      <c r="B55" t="s">
        <v>185</v>
      </c>
      <c r="D55" s="32">
        <v>1616</v>
      </c>
      <c r="E55">
        <f t="shared" si="0"/>
        <v>1616</v>
      </c>
      <c r="F55">
        <v>2064</v>
      </c>
      <c r="G55">
        <v>38718</v>
      </c>
      <c r="H55" s="30">
        <v>0.83</v>
      </c>
      <c r="I55" s="31">
        <v>0</v>
      </c>
    </row>
    <row r="56" spans="1:13" x14ac:dyDescent="0.25">
      <c r="A56">
        <v>1446</v>
      </c>
      <c r="B56" t="s">
        <v>186</v>
      </c>
      <c r="D56">
        <v>375</v>
      </c>
      <c r="E56">
        <f t="shared" si="0"/>
        <v>375</v>
      </c>
      <c r="F56" s="32">
        <v>329</v>
      </c>
      <c r="G56" s="32">
        <v>750</v>
      </c>
      <c r="H56" s="30">
        <v>0.83</v>
      </c>
      <c r="I56" s="31">
        <v>0</v>
      </c>
    </row>
    <row r="57" spans="1:13" x14ac:dyDescent="0.25">
      <c r="A57">
        <v>1450</v>
      </c>
      <c r="B57" t="s">
        <v>187</v>
      </c>
      <c r="D57" s="32">
        <v>1583</v>
      </c>
      <c r="E57">
        <f t="shared" si="0"/>
        <v>1583</v>
      </c>
      <c r="F57">
        <v>1177</v>
      </c>
      <c r="G57">
        <v>10754</v>
      </c>
      <c r="H57" s="30">
        <v>0.83</v>
      </c>
      <c r="I57" s="31">
        <v>2.7919999999999998</v>
      </c>
      <c r="M57" s="32"/>
    </row>
    <row r="58" spans="1:13" x14ac:dyDescent="0.25">
      <c r="A58">
        <v>1452</v>
      </c>
      <c r="B58" t="s">
        <v>233</v>
      </c>
      <c r="D58" s="32">
        <v>2538</v>
      </c>
      <c r="E58">
        <f t="shared" si="0"/>
        <v>2007</v>
      </c>
      <c r="F58" s="32">
        <v>0</v>
      </c>
      <c r="G58" s="32"/>
      <c r="H58" s="30">
        <v>0.83</v>
      </c>
      <c r="I58" s="31">
        <v>0</v>
      </c>
      <c r="K58">
        <v>531</v>
      </c>
    </row>
    <row r="59" spans="1:13" x14ac:dyDescent="0.25">
      <c r="A59">
        <v>1453</v>
      </c>
      <c r="B59" t="s">
        <v>188</v>
      </c>
      <c r="D59">
        <v>0</v>
      </c>
      <c r="E59">
        <f t="shared" si="0"/>
        <v>0</v>
      </c>
      <c r="F59">
        <v>780</v>
      </c>
      <c r="G59" s="31"/>
      <c r="H59" s="30">
        <v>0.83</v>
      </c>
      <c r="I59" s="31">
        <v>17.035</v>
      </c>
    </row>
    <row r="60" spans="1:13" x14ac:dyDescent="0.25">
      <c r="A60">
        <v>1456</v>
      </c>
      <c r="B60" t="s">
        <v>189</v>
      </c>
      <c r="D60" s="32">
        <v>4075</v>
      </c>
      <c r="E60">
        <f t="shared" si="0"/>
        <v>4075</v>
      </c>
      <c r="F60">
        <v>5916</v>
      </c>
      <c r="G60" s="31"/>
      <c r="H60" s="30">
        <v>0.83</v>
      </c>
      <c r="I60" s="31">
        <v>0</v>
      </c>
    </row>
    <row r="61" spans="1:13" x14ac:dyDescent="0.25">
      <c r="A61">
        <v>1483</v>
      </c>
      <c r="B61" t="s">
        <v>175</v>
      </c>
      <c r="D61" s="32">
        <v>8440</v>
      </c>
      <c r="E61">
        <f t="shared" si="0"/>
        <v>8440</v>
      </c>
      <c r="F61">
        <v>8000</v>
      </c>
      <c r="G61" s="31"/>
      <c r="H61" s="30">
        <v>0.83</v>
      </c>
      <c r="I61" s="31">
        <v>0</v>
      </c>
    </row>
    <row r="62" spans="1:13" x14ac:dyDescent="0.25">
      <c r="A62">
        <v>1487</v>
      </c>
      <c r="B62" t="s">
        <v>176</v>
      </c>
      <c r="D62">
        <v>40</v>
      </c>
      <c r="E62">
        <f t="shared" si="0"/>
        <v>40</v>
      </c>
      <c r="F62">
        <v>375</v>
      </c>
      <c r="G62" s="31">
        <v>1085</v>
      </c>
      <c r="H62" s="30">
        <v>0.83</v>
      </c>
      <c r="I62" s="31">
        <v>2.2050000000000001</v>
      </c>
    </row>
    <row r="63" spans="1:13" x14ac:dyDescent="0.25">
      <c r="A63">
        <v>1488</v>
      </c>
      <c r="B63" t="s">
        <v>234</v>
      </c>
      <c r="D63" s="32">
        <v>2396</v>
      </c>
      <c r="E63">
        <f t="shared" si="0"/>
        <v>2396</v>
      </c>
      <c r="F63" s="32">
        <v>0</v>
      </c>
      <c r="G63" s="31">
        <v>744</v>
      </c>
      <c r="H63" s="30">
        <v>0.83</v>
      </c>
      <c r="I63" s="31">
        <v>0.495</v>
      </c>
    </row>
    <row r="64" spans="1:13" x14ac:dyDescent="0.25">
      <c r="A64">
        <v>1488</v>
      </c>
      <c r="B64" t="s">
        <v>234</v>
      </c>
      <c r="D64">
        <v>200</v>
      </c>
      <c r="E64">
        <f t="shared" si="0"/>
        <v>200</v>
      </c>
      <c r="F64" s="32">
        <v>0</v>
      </c>
      <c r="G64" s="31">
        <v>61</v>
      </c>
      <c r="H64" s="30">
        <v>0.83</v>
      </c>
      <c r="I64" s="31">
        <v>0.89800000000000002</v>
      </c>
    </row>
    <row r="65" spans="1:11" x14ac:dyDescent="0.25">
      <c r="A65">
        <v>1488</v>
      </c>
      <c r="B65" t="s">
        <v>234</v>
      </c>
      <c r="D65" s="32">
        <v>1802</v>
      </c>
      <c r="E65">
        <f t="shared" si="0"/>
        <v>1802</v>
      </c>
      <c r="F65">
        <v>0</v>
      </c>
      <c r="G65" s="31">
        <v>846</v>
      </c>
      <c r="H65" s="30">
        <v>0.83</v>
      </c>
      <c r="I65" s="31">
        <v>0.55500000000000005</v>
      </c>
    </row>
    <row r="66" spans="1:11" x14ac:dyDescent="0.25">
      <c r="A66">
        <v>1488</v>
      </c>
      <c r="B66" t="s">
        <v>234</v>
      </c>
      <c r="D66" s="32">
        <v>2024</v>
      </c>
      <c r="E66">
        <f t="shared" si="0"/>
        <v>2024</v>
      </c>
      <c r="F66" s="32">
        <v>0</v>
      </c>
      <c r="G66" s="31">
        <v>2459</v>
      </c>
      <c r="H66" s="30">
        <v>0.83</v>
      </c>
      <c r="I66" s="31">
        <v>1.4470000000000001</v>
      </c>
    </row>
    <row r="67" spans="1:11" x14ac:dyDescent="0.25">
      <c r="A67">
        <v>1490</v>
      </c>
      <c r="B67" t="s">
        <v>232</v>
      </c>
      <c r="D67">
        <v>230</v>
      </c>
      <c r="E67">
        <f t="shared" si="0"/>
        <v>230</v>
      </c>
      <c r="F67" s="32">
        <v>0</v>
      </c>
      <c r="G67" s="31">
        <v>268</v>
      </c>
      <c r="H67" s="30">
        <v>0.83</v>
      </c>
      <c r="I67" s="31">
        <v>1.5369999999999999</v>
      </c>
    </row>
    <row r="68" spans="1:11" x14ac:dyDescent="0.25">
      <c r="A68">
        <v>1610</v>
      </c>
      <c r="B68" t="s">
        <v>190</v>
      </c>
      <c r="D68">
        <v>992</v>
      </c>
      <c r="E68">
        <f t="shared" si="0"/>
        <v>992</v>
      </c>
      <c r="F68">
        <v>1032</v>
      </c>
      <c r="G68" s="31">
        <v>136</v>
      </c>
      <c r="H68" s="30">
        <v>0.83</v>
      </c>
      <c r="I68" s="31">
        <v>1.0409999999999999</v>
      </c>
    </row>
    <row r="69" spans="1:11" x14ac:dyDescent="0.25">
      <c r="A69">
        <v>1612</v>
      </c>
      <c r="B69" t="s">
        <v>191</v>
      </c>
      <c r="D69" s="32">
        <v>1365</v>
      </c>
      <c r="E69">
        <f t="shared" si="0"/>
        <v>1365</v>
      </c>
      <c r="F69" s="32">
        <v>1086</v>
      </c>
      <c r="G69" s="31">
        <v>156</v>
      </c>
      <c r="H69" s="30">
        <v>0.83</v>
      </c>
      <c r="I69" s="31">
        <v>0</v>
      </c>
    </row>
    <row r="70" spans="1:11" x14ac:dyDescent="0.25">
      <c r="A70">
        <v>1614</v>
      </c>
      <c r="B70" t="s">
        <v>192</v>
      </c>
      <c r="D70">
        <v>196</v>
      </c>
      <c r="E70">
        <f t="shared" si="0"/>
        <v>196</v>
      </c>
      <c r="F70" s="32">
        <v>574</v>
      </c>
      <c r="G70" s="31">
        <v>140</v>
      </c>
      <c r="H70" s="30">
        <v>0.83</v>
      </c>
      <c r="I70" s="31">
        <v>0.66200000000000003</v>
      </c>
    </row>
    <row r="71" spans="1:11" x14ac:dyDescent="0.25">
      <c r="A71">
        <v>1616</v>
      </c>
      <c r="B71" t="s">
        <v>193</v>
      </c>
      <c r="D71" s="32">
        <v>1230</v>
      </c>
      <c r="E71">
        <f t="shared" si="0"/>
        <v>1230</v>
      </c>
      <c r="F71">
        <v>1462</v>
      </c>
      <c r="G71" s="31">
        <v>192</v>
      </c>
      <c r="H71" s="30">
        <v>0.83</v>
      </c>
      <c r="I71" s="31">
        <v>1.4159999999999999</v>
      </c>
    </row>
    <row r="72" spans="1:11" x14ac:dyDescent="0.25">
      <c r="A72">
        <v>1638</v>
      </c>
      <c r="B72" t="s">
        <v>194</v>
      </c>
      <c r="D72" s="32">
        <v>5916</v>
      </c>
      <c r="E72">
        <f t="shared" ref="E72:E114" si="1">+D72-K72</f>
        <v>5916</v>
      </c>
      <c r="F72">
        <v>7569</v>
      </c>
      <c r="G72" s="31">
        <v>1522</v>
      </c>
      <c r="H72" s="30">
        <v>0.83</v>
      </c>
      <c r="I72" s="31">
        <v>0.47899999999999998</v>
      </c>
    </row>
    <row r="73" spans="1:11" x14ac:dyDescent="0.25">
      <c r="A73">
        <v>1639</v>
      </c>
      <c r="B73" t="s">
        <v>195</v>
      </c>
      <c r="D73">
        <v>892</v>
      </c>
      <c r="E73">
        <f t="shared" si="1"/>
        <v>892</v>
      </c>
      <c r="F73" s="32">
        <v>750</v>
      </c>
      <c r="G73" s="31">
        <v>2010</v>
      </c>
      <c r="H73" s="30">
        <v>0.83</v>
      </c>
      <c r="I73" s="31">
        <v>3.4359999999999999</v>
      </c>
    </row>
    <row r="74" spans="1:11" x14ac:dyDescent="0.25">
      <c r="A74">
        <v>1701</v>
      </c>
      <c r="B74" t="s">
        <v>199</v>
      </c>
      <c r="D74" s="32">
        <v>1209</v>
      </c>
      <c r="E74">
        <f t="shared" si="1"/>
        <v>1209</v>
      </c>
      <c r="F74" s="32">
        <v>3573</v>
      </c>
      <c r="G74" s="31"/>
      <c r="H74" s="30">
        <v>0.83</v>
      </c>
      <c r="I74" s="31">
        <v>0.64200000000000002</v>
      </c>
    </row>
    <row r="75" spans="1:11" x14ac:dyDescent="0.25">
      <c r="A75">
        <v>1703</v>
      </c>
      <c r="B75" t="s">
        <v>275</v>
      </c>
      <c r="D75" s="32">
        <v>1001</v>
      </c>
      <c r="E75">
        <f t="shared" si="1"/>
        <v>1001</v>
      </c>
      <c r="F75" s="32">
        <v>2000</v>
      </c>
      <c r="G75" s="31"/>
      <c r="H75" s="30">
        <v>0.83</v>
      </c>
      <c r="I75" s="31">
        <v>0.82</v>
      </c>
    </row>
    <row r="76" spans="1:11" x14ac:dyDescent="0.25">
      <c r="A76">
        <v>1706</v>
      </c>
      <c r="B76" t="s">
        <v>192</v>
      </c>
      <c r="D76">
        <v>347</v>
      </c>
      <c r="E76">
        <f t="shared" si="1"/>
        <v>347</v>
      </c>
      <c r="F76" s="32">
        <v>198</v>
      </c>
      <c r="G76" s="31"/>
      <c r="H76" s="30">
        <v>0.83</v>
      </c>
      <c r="I76" s="31">
        <v>0.623</v>
      </c>
    </row>
    <row r="77" spans="1:11" x14ac:dyDescent="0.25">
      <c r="A77">
        <v>1707</v>
      </c>
      <c r="B77" t="s">
        <v>200</v>
      </c>
      <c r="D77" s="32">
        <v>1292</v>
      </c>
      <c r="E77">
        <f t="shared" si="1"/>
        <v>1292</v>
      </c>
      <c r="F77" s="32">
        <v>626</v>
      </c>
      <c r="G77" s="31">
        <v>462</v>
      </c>
      <c r="H77" s="30">
        <v>0.83</v>
      </c>
      <c r="I77" s="31">
        <v>0.79500000000000004</v>
      </c>
    </row>
    <row r="78" spans="1:11" x14ac:dyDescent="0.25">
      <c r="A78">
        <v>1708</v>
      </c>
      <c r="B78" t="s">
        <v>201</v>
      </c>
      <c r="D78" s="32">
        <v>1397</v>
      </c>
      <c r="E78">
        <f t="shared" si="1"/>
        <v>1397</v>
      </c>
      <c r="F78" s="32">
        <v>1453</v>
      </c>
      <c r="G78" s="31">
        <v>5497</v>
      </c>
      <c r="H78" s="30">
        <v>0.83</v>
      </c>
      <c r="I78" s="31">
        <v>5.1999999999999998E-2</v>
      </c>
    </row>
    <row r="79" spans="1:11" x14ac:dyDescent="0.25">
      <c r="A79">
        <v>1709</v>
      </c>
      <c r="B79" t="s">
        <v>202</v>
      </c>
      <c r="D79" s="32">
        <v>1021</v>
      </c>
      <c r="E79">
        <f t="shared" si="1"/>
        <v>921</v>
      </c>
      <c r="F79" s="32">
        <v>1071</v>
      </c>
      <c r="G79" s="31">
        <v>250</v>
      </c>
      <c r="H79" s="30">
        <v>0.83</v>
      </c>
      <c r="I79" s="31">
        <v>0</v>
      </c>
      <c r="K79">
        <v>100</v>
      </c>
    </row>
    <row r="80" spans="1:11" x14ac:dyDescent="0.25">
      <c r="A80">
        <v>1713</v>
      </c>
      <c r="B80" t="s">
        <v>321</v>
      </c>
      <c r="D80">
        <v>190</v>
      </c>
      <c r="E80">
        <f t="shared" si="1"/>
        <v>190</v>
      </c>
      <c r="F80">
        <v>0</v>
      </c>
      <c r="G80" s="31">
        <v>3428</v>
      </c>
      <c r="H80" s="30">
        <v>0.83</v>
      </c>
      <c r="I80" s="31">
        <v>6.7140000000000004</v>
      </c>
    </row>
    <row r="81" spans="1:13" x14ac:dyDescent="0.25">
      <c r="A81">
        <v>1720</v>
      </c>
      <c r="B81" t="s">
        <v>196</v>
      </c>
      <c r="D81" s="32">
        <v>14450</v>
      </c>
      <c r="E81">
        <f t="shared" si="1"/>
        <v>14450</v>
      </c>
      <c r="F81" s="32">
        <v>13997</v>
      </c>
      <c r="G81" s="31">
        <v>1398</v>
      </c>
      <c r="H81" s="30">
        <v>0.83</v>
      </c>
      <c r="I81" s="31">
        <v>0.84</v>
      </c>
    </row>
    <row r="82" spans="1:13" x14ac:dyDescent="0.25">
      <c r="A82">
        <v>1721</v>
      </c>
      <c r="B82" t="s">
        <v>197</v>
      </c>
      <c r="D82" s="32">
        <v>1490</v>
      </c>
      <c r="E82">
        <f t="shared" si="1"/>
        <v>1490</v>
      </c>
      <c r="F82" s="32">
        <v>2583</v>
      </c>
      <c r="G82" s="31">
        <v>1333</v>
      </c>
      <c r="H82" s="30">
        <v>0.83</v>
      </c>
      <c r="I82" s="31">
        <v>0.55600000000000005</v>
      </c>
    </row>
    <row r="83" spans="1:13" x14ac:dyDescent="0.25">
      <c r="A83">
        <v>1723</v>
      </c>
      <c r="B83" t="s">
        <v>198</v>
      </c>
      <c r="D83" s="32">
        <v>4005</v>
      </c>
      <c r="E83">
        <f t="shared" si="1"/>
        <v>4005</v>
      </c>
      <c r="F83" s="32">
        <v>2600</v>
      </c>
      <c r="G83" s="31">
        <v>898</v>
      </c>
      <c r="H83" s="30">
        <v>0.83</v>
      </c>
      <c r="I83" s="31">
        <v>2.7959999999999998</v>
      </c>
    </row>
    <row r="84" spans="1:13" x14ac:dyDescent="0.25">
      <c r="A84">
        <v>1804</v>
      </c>
      <c r="B84" t="s">
        <v>209</v>
      </c>
      <c r="D84" s="32">
        <v>1354</v>
      </c>
      <c r="E84">
        <f t="shared" si="1"/>
        <v>1354</v>
      </c>
      <c r="F84" s="32">
        <v>2546</v>
      </c>
      <c r="G84" s="31">
        <v>1220</v>
      </c>
      <c r="H84" s="30">
        <v>0.83</v>
      </c>
      <c r="I84" s="31">
        <v>1.921</v>
      </c>
    </row>
    <row r="85" spans="1:13" x14ac:dyDescent="0.25">
      <c r="A85">
        <v>1805</v>
      </c>
      <c r="B85" t="s">
        <v>210</v>
      </c>
      <c r="D85">
        <v>0</v>
      </c>
      <c r="E85">
        <f t="shared" si="1"/>
        <v>0</v>
      </c>
      <c r="F85" s="32">
        <v>6796</v>
      </c>
      <c r="G85" s="31"/>
      <c r="H85" s="30">
        <v>0.83</v>
      </c>
      <c r="I85" s="31">
        <v>1.0029999999999999</v>
      </c>
    </row>
    <row r="86" spans="1:13" x14ac:dyDescent="0.25">
      <c r="A86">
        <v>1807</v>
      </c>
      <c r="B86" t="s">
        <v>202</v>
      </c>
      <c r="D86" s="32">
        <v>2020</v>
      </c>
      <c r="E86">
        <f t="shared" si="1"/>
        <v>2020</v>
      </c>
      <c r="F86">
        <v>250</v>
      </c>
      <c r="G86" s="31"/>
      <c r="H86" s="30">
        <v>0.83</v>
      </c>
      <c r="I86" s="31">
        <v>1.077</v>
      </c>
    </row>
    <row r="87" spans="1:13" x14ac:dyDescent="0.25">
      <c r="A87">
        <v>1809</v>
      </c>
      <c r="B87" t="s">
        <v>192</v>
      </c>
      <c r="D87" s="32">
        <v>3676</v>
      </c>
      <c r="E87">
        <f t="shared" si="1"/>
        <v>3676</v>
      </c>
      <c r="F87" s="32">
        <v>2080</v>
      </c>
      <c r="G87" s="31"/>
      <c r="H87" s="30">
        <v>0.83</v>
      </c>
      <c r="I87" s="31">
        <v>0.30599999999999999</v>
      </c>
    </row>
    <row r="88" spans="1:13" x14ac:dyDescent="0.25">
      <c r="A88">
        <v>1810</v>
      </c>
      <c r="B88" t="s">
        <v>201</v>
      </c>
      <c r="D88" s="32">
        <v>7335</v>
      </c>
      <c r="E88">
        <f t="shared" si="1"/>
        <v>7335</v>
      </c>
      <c r="F88" s="32">
        <v>7628</v>
      </c>
      <c r="G88" s="31"/>
      <c r="H88" s="30">
        <v>0.83</v>
      </c>
      <c r="I88" s="31">
        <v>1.0740000000000001</v>
      </c>
      <c r="L88" s="32"/>
    </row>
    <row r="89" spans="1:13" x14ac:dyDescent="0.25">
      <c r="A89">
        <v>1811</v>
      </c>
      <c r="B89" t="s">
        <v>211</v>
      </c>
      <c r="D89">
        <v>989</v>
      </c>
      <c r="E89">
        <f t="shared" si="1"/>
        <v>989</v>
      </c>
      <c r="F89" s="32">
        <v>2500</v>
      </c>
      <c r="G89" s="31"/>
      <c r="H89" s="30">
        <v>0.83</v>
      </c>
      <c r="I89" s="31">
        <v>0</v>
      </c>
    </row>
    <row r="90" spans="1:13" x14ac:dyDescent="0.25">
      <c r="A90">
        <v>1812</v>
      </c>
      <c r="B90" t="s">
        <v>212</v>
      </c>
      <c r="D90" s="32">
        <v>1079</v>
      </c>
      <c r="E90">
        <f t="shared" si="1"/>
        <v>1079</v>
      </c>
      <c r="F90" s="32">
        <v>2513</v>
      </c>
      <c r="G90" s="31">
        <v>2915</v>
      </c>
      <c r="H90" s="30">
        <v>0.83</v>
      </c>
      <c r="I90" s="31">
        <v>0.73199999999999998</v>
      </c>
    </row>
    <row r="91" spans="1:13" x14ac:dyDescent="0.25">
      <c r="A91">
        <v>1814</v>
      </c>
      <c r="B91" t="s">
        <v>213</v>
      </c>
      <c r="D91" s="32">
        <v>13894</v>
      </c>
      <c r="E91">
        <f t="shared" si="1"/>
        <v>13894</v>
      </c>
      <c r="F91">
        <v>4818</v>
      </c>
      <c r="G91" s="31">
        <v>2592</v>
      </c>
      <c r="H91" s="30">
        <v>0.83</v>
      </c>
      <c r="I91" s="31">
        <v>1.288</v>
      </c>
    </row>
    <row r="92" spans="1:13" x14ac:dyDescent="0.25">
      <c r="A92">
        <v>1815</v>
      </c>
      <c r="B92" t="s">
        <v>283</v>
      </c>
      <c r="D92" s="32">
        <v>1054</v>
      </c>
      <c r="E92">
        <f t="shared" si="1"/>
        <v>1054</v>
      </c>
      <c r="F92" s="32">
        <v>900</v>
      </c>
      <c r="G92" s="31">
        <v>744</v>
      </c>
      <c r="H92" s="30">
        <v>0.83</v>
      </c>
      <c r="I92" s="31">
        <v>1.3720000000000001</v>
      </c>
      <c r="M92" s="32"/>
    </row>
    <row r="93" spans="1:13" x14ac:dyDescent="0.25">
      <c r="A93">
        <v>1820</v>
      </c>
      <c r="B93" t="s">
        <v>204</v>
      </c>
      <c r="D93" s="32">
        <v>53795</v>
      </c>
      <c r="E93">
        <f t="shared" si="1"/>
        <v>53795</v>
      </c>
      <c r="F93" s="32">
        <v>53317</v>
      </c>
      <c r="G93" s="31">
        <v>668</v>
      </c>
      <c r="H93" s="30">
        <v>0.83</v>
      </c>
      <c r="I93" s="31">
        <v>0.61799999999999999</v>
      </c>
    </row>
    <row r="94" spans="1:13" x14ac:dyDescent="0.25">
      <c r="A94">
        <v>1821</v>
      </c>
      <c r="B94" t="s">
        <v>205</v>
      </c>
      <c r="D94" s="32">
        <v>8290</v>
      </c>
      <c r="E94">
        <f t="shared" si="1"/>
        <v>8290</v>
      </c>
      <c r="F94" s="32">
        <v>6662</v>
      </c>
      <c r="G94" s="31">
        <v>1128</v>
      </c>
      <c r="H94" s="30">
        <v>0.83</v>
      </c>
      <c r="I94" s="31">
        <v>1.3759999999999999</v>
      </c>
    </row>
    <row r="95" spans="1:13" x14ac:dyDescent="0.25">
      <c r="A95">
        <v>1823</v>
      </c>
      <c r="B95" t="s">
        <v>206</v>
      </c>
      <c r="D95" s="32">
        <v>1178</v>
      </c>
      <c r="E95">
        <f t="shared" si="1"/>
        <v>1178</v>
      </c>
      <c r="F95" s="32">
        <v>2400</v>
      </c>
      <c r="G95" s="31">
        <v>280</v>
      </c>
      <c r="H95" s="30">
        <v>0.83</v>
      </c>
      <c r="I95" s="31">
        <v>0.86</v>
      </c>
    </row>
    <row r="96" spans="1:13" x14ac:dyDescent="0.25">
      <c r="A96">
        <v>1824</v>
      </c>
      <c r="B96" t="s">
        <v>207</v>
      </c>
      <c r="D96" s="32">
        <v>7114</v>
      </c>
      <c r="E96">
        <f t="shared" si="1"/>
        <v>7114</v>
      </c>
      <c r="F96" s="32">
        <v>4974</v>
      </c>
      <c r="G96" s="31">
        <v>1526</v>
      </c>
      <c r="H96" s="30">
        <v>0.83</v>
      </c>
      <c r="I96" s="31">
        <v>1.167</v>
      </c>
    </row>
    <row r="97" spans="1:13" x14ac:dyDescent="0.25">
      <c r="A97">
        <v>1855</v>
      </c>
      <c r="B97" t="s">
        <v>208</v>
      </c>
      <c r="D97">
        <v>450</v>
      </c>
      <c r="E97">
        <f t="shared" si="1"/>
        <v>450</v>
      </c>
      <c r="F97" s="32">
        <v>300</v>
      </c>
      <c r="G97" s="31">
        <v>681</v>
      </c>
      <c r="H97" s="30">
        <v>0.83</v>
      </c>
      <c r="I97" s="31">
        <v>1.851</v>
      </c>
    </row>
    <row r="98" spans="1:13" x14ac:dyDescent="0.25">
      <c r="A98">
        <v>1901</v>
      </c>
      <c r="B98" t="s">
        <v>201</v>
      </c>
      <c r="D98" s="32">
        <v>9107</v>
      </c>
      <c r="E98">
        <f t="shared" si="1"/>
        <v>9107</v>
      </c>
      <c r="F98" s="32">
        <v>8990</v>
      </c>
      <c r="G98" s="31"/>
      <c r="H98" s="30">
        <v>0.83</v>
      </c>
      <c r="I98" s="31">
        <v>0.33</v>
      </c>
    </row>
    <row r="99" spans="1:13" x14ac:dyDescent="0.25">
      <c r="A99">
        <v>1902</v>
      </c>
      <c r="B99" t="s">
        <v>217</v>
      </c>
      <c r="D99" s="32">
        <v>8565</v>
      </c>
      <c r="E99">
        <f t="shared" si="1"/>
        <v>8565</v>
      </c>
      <c r="F99">
        <v>11541</v>
      </c>
      <c r="G99" s="31"/>
      <c r="H99" s="30">
        <v>0.83</v>
      </c>
      <c r="I99" s="31">
        <v>1</v>
      </c>
      <c r="K99" s="32"/>
    </row>
    <row r="100" spans="1:13" x14ac:dyDescent="0.25">
      <c r="A100">
        <v>1903</v>
      </c>
      <c r="B100" t="s">
        <v>200</v>
      </c>
      <c r="D100" s="32">
        <v>4029</v>
      </c>
      <c r="E100">
        <f t="shared" si="1"/>
        <v>4029</v>
      </c>
      <c r="F100">
        <v>2040</v>
      </c>
      <c r="G100" s="31"/>
      <c r="H100" s="30">
        <v>0.83</v>
      </c>
      <c r="I100" s="31">
        <v>0.75</v>
      </c>
    </row>
    <row r="101" spans="1:13" x14ac:dyDescent="0.25">
      <c r="A101">
        <v>1904</v>
      </c>
      <c r="B101" t="s">
        <v>186</v>
      </c>
      <c r="D101">
        <v>0</v>
      </c>
      <c r="E101">
        <f t="shared" si="1"/>
        <v>0</v>
      </c>
      <c r="F101" s="32">
        <v>1820</v>
      </c>
      <c r="G101" s="31">
        <v>1000</v>
      </c>
      <c r="H101" s="30">
        <v>0.83</v>
      </c>
      <c r="I101" s="31">
        <v>0</v>
      </c>
    </row>
    <row r="102" spans="1:13" x14ac:dyDescent="0.25">
      <c r="A102">
        <v>1905</v>
      </c>
      <c r="B102" t="s">
        <v>218</v>
      </c>
      <c r="D102" s="32">
        <v>5191</v>
      </c>
      <c r="E102">
        <f t="shared" si="1"/>
        <v>5191</v>
      </c>
      <c r="F102" s="32">
        <v>4202</v>
      </c>
      <c r="G102" s="31">
        <v>257</v>
      </c>
      <c r="H102" s="30">
        <v>0.83</v>
      </c>
      <c r="I102" s="31">
        <v>0.94899999999999995</v>
      </c>
    </row>
    <row r="103" spans="1:13" x14ac:dyDescent="0.25">
      <c r="A103">
        <v>1906</v>
      </c>
      <c r="B103" t="s">
        <v>219</v>
      </c>
      <c r="D103">
        <v>909</v>
      </c>
      <c r="E103">
        <f t="shared" si="1"/>
        <v>909</v>
      </c>
      <c r="F103">
        <v>2361</v>
      </c>
      <c r="G103" s="32">
        <f t="shared" ref="G103:G104" si="2">+F103-E103</f>
        <v>1452</v>
      </c>
      <c r="H103" s="30">
        <v>0.75</v>
      </c>
      <c r="M103" s="32"/>
    </row>
    <row r="104" spans="1:13" x14ac:dyDescent="0.25">
      <c r="A104">
        <v>1907</v>
      </c>
      <c r="B104" t="s">
        <v>220</v>
      </c>
      <c r="D104" s="32">
        <v>13742</v>
      </c>
      <c r="E104">
        <f t="shared" si="1"/>
        <v>13742</v>
      </c>
      <c r="F104">
        <v>7970</v>
      </c>
      <c r="G104" s="32">
        <f t="shared" si="2"/>
        <v>-5772</v>
      </c>
      <c r="H104" s="30">
        <v>0.75</v>
      </c>
    </row>
    <row r="105" spans="1:13" x14ac:dyDescent="0.25">
      <c r="A105">
        <v>1908</v>
      </c>
      <c r="B105" t="s">
        <v>221</v>
      </c>
      <c r="D105" s="32">
        <v>1112</v>
      </c>
      <c r="E105">
        <f t="shared" si="1"/>
        <v>1112</v>
      </c>
      <c r="F105">
        <v>924</v>
      </c>
      <c r="G105" s="32">
        <f t="shared" ref="G105:G114" si="3">+F105-E105</f>
        <v>-188</v>
      </c>
    </row>
    <row r="106" spans="1:13" x14ac:dyDescent="0.25">
      <c r="A106">
        <v>1977</v>
      </c>
      <c r="B106" t="s">
        <v>214</v>
      </c>
      <c r="D106">
        <v>423</v>
      </c>
      <c r="E106">
        <f t="shared" si="1"/>
        <v>423</v>
      </c>
      <c r="F106">
        <v>798</v>
      </c>
      <c r="G106" s="32">
        <f t="shared" si="3"/>
        <v>375</v>
      </c>
    </row>
    <row r="107" spans="1:13" x14ac:dyDescent="0.25">
      <c r="A107">
        <v>1978</v>
      </c>
      <c r="B107" t="s">
        <v>215</v>
      </c>
      <c r="D107" s="32">
        <v>2113</v>
      </c>
      <c r="E107">
        <f t="shared" si="1"/>
        <v>2113</v>
      </c>
      <c r="F107">
        <v>1800</v>
      </c>
      <c r="G107" s="32">
        <f t="shared" si="3"/>
        <v>-313</v>
      </c>
    </row>
    <row r="108" spans="1:13" x14ac:dyDescent="0.25">
      <c r="A108">
        <v>1979</v>
      </c>
      <c r="B108" t="s">
        <v>216</v>
      </c>
      <c r="D108" s="32">
        <v>12000</v>
      </c>
      <c r="E108">
        <f t="shared" si="1"/>
        <v>12000</v>
      </c>
      <c r="F108">
        <v>12000</v>
      </c>
      <c r="G108" s="32">
        <f t="shared" si="3"/>
        <v>0</v>
      </c>
    </row>
    <row r="109" spans="1:13" x14ac:dyDescent="0.25">
      <c r="A109">
        <v>2001</v>
      </c>
      <c r="B109" t="s">
        <v>224</v>
      </c>
      <c r="D109">
        <v>0</v>
      </c>
      <c r="E109">
        <f t="shared" si="1"/>
        <v>0</v>
      </c>
      <c r="F109">
        <v>800</v>
      </c>
      <c r="G109" s="32">
        <f t="shared" si="3"/>
        <v>800</v>
      </c>
    </row>
    <row r="110" spans="1:13" x14ac:dyDescent="0.25">
      <c r="A110">
        <v>2002</v>
      </c>
      <c r="B110" t="s">
        <v>225</v>
      </c>
      <c r="D110" s="32">
        <v>3717</v>
      </c>
      <c r="E110">
        <f t="shared" si="1"/>
        <v>3717</v>
      </c>
      <c r="F110">
        <v>5531</v>
      </c>
      <c r="G110" s="32">
        <f t="shared" si="3"/>
        <v>1814</v>
      </c>
    </row>
    <row r="111" spans="1:13" x14ac:dyDescent="0.25">
      <c r="A111">
        <v>2005</v>
      </c>
      <c r="B111" t="s">
        <v>284</v>
      </c>
      <c r="D111">
        <v>44</v>
      </c>
      <c r="E111">
        <f t="shared" si="1"/>
        <v>44</v>
      </c>
      <c r="F111">
        <v>33</v>
      </c>
      <c r="G111" s="32">
        <f t="shared" si="3"/>
        <v>-11</v>
      </c>
    </row>
    <row r="112" spans="1:13" x14ac:dyDescent="0.25">
      <c r="A112">
        <v>2007</v>
      </c>
      <c r="B112" t="s">
        <v>226</v>
      </c>
      <c r="D112" s="32">
        <v>5008</v>
      </c>
      <c r="E112">
        <f t="shared" si="1"/>
        <v>3893</v>
      </c>
      <c r="F112">
        <v>2468</v>
      </c>
      <c r="G112" s="32">
        <f t="shared" si="3"/>
        <v>-1425</v>
      </c>
      <c r="K112">
        <v>1115</v>
      </c>
    </row>
    <row r="113" spans="1:7" x14ac:dyDescent="0.25">
      <c r="A113">
        <v>2021</v>
      </c>
      <c r="B113" t="s">
        <v>222</v>
      </c>
      <c r="D113" s="32">
        <v>1070</v>
      </c>
      <c r="E113">
        <f t="shared" si="1"/>
        <v>1070</v>
      </c>
      <c r="F113">
        <v>1000</v>
      </c>
      <c r="G113" s="32">
        <f t="shared" si="3"/>
        <v>-70</v>
      </c>
    </row>
    <row r="114" spans="1:7" x14ac:dyDescent="0.25">
      <c r="A114">
        <v>2022</v>
      </c>
      <c r="B114" t="s">
        <v>223</v>
      </c>
      <c r="D114">
        <v>0</v>
      </c>
      <c r="E114">
        <f t="shared" si="1"/>
        <v>0</v>
      </c>
      <c r="F114">
        <v>388</v>
      </c>
      <c r="G114" s="32">
        <f t="shared" si="3"/>
        <v>388</v>
      </c>
    </row>
    <row r="127" spans="1:7" x14ac:dyDescent="0.25">
      <c r="E127" t="e">
        <f>+G127-#REF!</f>
        <v>#REF!</v>
      </c>
    </row>
    <row r="128" spans="1:7" x14ac:dyDescent="0.25">
      <c r="D128" s="32">
        <v>14819</v>
      </c>
      <c r="E128" t="e">
        <f>+G128-#REF!</f>
        <v>#REF!</v>
      </c>
    </row>
    <row r="129" spans="5:5" x14ac:dyDescent="0.25">
      <c r="E129" t="e">
        <f>+G129-#REF!</f>
        <v>#REF!</v>
      </c>
    </row>
    <row r="130" spans="5:5" x14ac:dyDescent="0.25">
      <c r="E130" t="e">
        <f>+G130-#REF!</f>
        <v>#REF!</v>
      </c>
    </row>
    <row r="131" spans="5:5" x14ac:dyDescent="0.25">
      <c r="E131" t="e">
        <f>+G131-#REF!</f>
        <v>#REF!</v>
      </c>
    </row>
    <row r="132" spans="5:5" x14ac:dyDescent="0.25">
      <c r="E132" t="e">
        <f>+G132-#REF!</f>
        <v>#REF!</v>
      </c>
    </row>
  </sheetData>
  <sortState xmlns:xlrd2="http://schemas.microsoft.com/office/spreadsheetml/2017/richdata2" ref="A1:J104">
    <sortCondition ref="A1:A104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40DC82-DCCD-4C6C-A369-10556F058494}">
  <dimension ref="A3:H9"/>
  <sheetViews>
    <sheetView zoomScale="115" zoomScaleNormal="115" workbookViewId="0"/>
  </sheetViews>
  <sheetFormatPr defaultRowHeight="15" x14ac:dyDescent="0.25"/>
  <cols>
    <col min="1" max="1" width="13.85546875" bestFit="1" customWidth="1"/>
    <col min="3" max="3" width="10.85546875" bestFit="1" customWidth="1"/>
  </cols>
  <sheetData>
    <row r="3" spans="1:8" x14ac:dyDescent="0.25">
      <c r="A3" t="s">
        <v>269</v>
      </c>
    </row>
    <row r="4" spans="1:8" x14ac:dyDescent="0.25">
      <c r="A4" t="s">
        <v>303</v>
      </c>
      <c r="B4">
        <v>93.82</v>
      </c>
      <c r="D4" t="s">
        <v>273</v>
      </c>
      <c r="F4">
        <v>3051.81</v>
      </c>
      <c r="H4" t="s">
        <v>274</v>
      </c>
    </row>
    <row r="5" spans="1:8" x14ac:dyDescent="0.25">
      <c r="A5" t="s">
        <v>270</v>
      </c>
      <c r="B5" t="s">
        <v>272</v>
      </c>
      <c r="C5" t="s">
        <v>271</v>
      </c>
    </row>
    <row r="6" spans="1:8" x14ac:dyDescent="0.25">
      <c r="A6" s="57"/>
      <c r="B6" s="57">
        <v>93.82</v>
      </c>
      <c r="C6" s="32">
        <f>+F4*B6</f>
        <v>286320.81419999996</v>
      </c>
    </row>
    <row r="7" spans="1:8" x14ac:dyDescent="0.25">
      <c r="A7">
        <v>2</v>
      </c>
      <c r="B7" s="57">
        <f>+B4/100*102</f>
        <v>95.696399999999997</v>
      </c>
      <c r="C7" s="32">
        <f>+B7*F4</f>
        <v>292047.230484</v>
      </c>
    </row>
    <row r="8" spans="1:8" x14ac:dyDescent="0.25">
      <c r="A8">
        <v>2.5</v>
      </c>
      <c r="B8" s="57">
        <f>+B4/100*102.5</f>
        <v>96.165499999999994</v>
      </c>
      <c r="C8" s="32">
        <f>+B8*F4</f>
        <v>293478.83455499995</v>
      </c>
    </row>
    <row r="9" spans="1:8" x14ac:dyDescent="0.25">
      <c r="A9">
        <v>3</v>
      </c>
      <c r="B9" s="57">
        <f>+B6/100*103</f>
        <v>96.634599999999992</v>
      </c>
      <c r="C9" s="32">
        <f>+F4*B9</f>
        <v>294910.43862599996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Overview</vt:lpstr>
      <vt:lpstr>Sheet1</vt:lpstr>
      <vt:lpstr>Detailed Budget</vt:lpstr>
      <vt:lpstr>Data</vt:lpstr>
      <vt:lpstr>2526 Increase </vt:lpstr>
      <vt:lpstr>'Detailed Budget'!Print_Area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Alice</dc:creator>
  <cp:lastModifiedBy>Lesley Wright</cp:lastModifiedBy>
  <cp:lastPrinted>2025-02-13T14:19:19Z</cp:lastPrinted>
  <dcterms:created xsi:type="dcterms:W3CDTF">2022-07-25T12:28:18Z</dcterms:created>
  <dcterms:modified xsi:type="dcterms:W3CDTF">2025-02-13T14:19:28Z</dcterms:modified>
</cp:coreProperties>
</file>